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0" yWindow="5607" windowWidth="20120" windowHeight="6767"/>
  </bookViews>
  <sheets>
    <sheet name="Budget" sheetId="1" r:id="rId1"/>
    <sheet name="Salaries" sheetId="2" r:id="rId2"/>
    <sheet name="Sheet1" sheetId="3" r:id="rId3"/>
  </sheets>
  <definedNames>
    <definedName name="_xlnm.Print_Area" localSheetId="0">Budget!$A$1:$AA$90</definedName>
    <definedName name="_xlnm.Print_Area" localSheetId="1">Salaries!$A$1:$N$35</definedName>
  </definedNames>
  <calcPr calcId="145621"/>
</workbook>
</file>

<file path=xl/calcChain.xml><?xml version="1.0" encoding="utf-8"?>
<calcChain xmlns="http://schemas.openxmlformats.org/spreadsheetml/2006/main">
  <c r="U20" i="1" l="1"/>
  <c r="U34" i="1"/>
  <c r="U83" i="1"/>
  <c r="M14" i="2" l="1"/>
  <c r="M13" i="2"/>
  <c r="K13" i="2"/>
  <c r="M12" i="2"/>
  <c r="L12" i="2"/>
  <c r="N12" i="2" s="1"/>
  <c r="Q52" i="1" s="1"/>
  <c r="K12" i="2"/>
  <c r="S86" i="1" l="1"/>
  <c r="S61" i="1"/>
  <c r="T85" i="1"/>
  <c r="T84" i="1"/>
  <c r="T83" i="1"/>
  <c r="T82" i="1"/>
  <c r="T81" i="1"/>
  <c r="T80" i="1"/>
  <c r="T79" i="1"/>
  <c r="T77" i="1"/>
  <c r="T76" i="1"/>
  <c r="T74" i="1"/>
  <c r="T73" i="1"/>
  <c r="T72" i="1"/>
  <c r="T71" i="1"/>
  <c r="T70" i="1"/>
  <c r="T67" i="1"/>
  <c r="T59" i="1"/>
  <c r="T58" i="1"/>
  <c r="T57" i="1"/>
  <c r="T54" i="1"/>
  <c r="T52" i="1"/>
  <c r="T51" i="1"/>
  <c r="T49" i="1"/>
  <c r="T48" i="1"/>
  <c r="T47" i="1"/>
  <c r="T46" i="1"/>
  <c r="T45" i="1"/>
  <c r="T44" i="1"/>
  <c r="T43" i="1"/>
  <c r="T42" i="1"/>
  <c r="T41" i="1"/>
  <c r="T40" i="1"/>
  <c r="T35" i="1"/>
  <c r="T32" i="1"/>
  <c r="T25" i="1"/>
  <c r="T24" i="1"/>
  <c r="T23" i="1"/>
  <c r="T22" i="1"/>
  <c r="T21" i="1"/>
  <c r="T20" i="1"/>
  <c r="T19" i="1"/>
  <c r="T18" i="1"/>
  <c r="T16" i="1"/>
  <c r="T15" i="1"/>
  <c r="T14" i="1"/>
  <c r="T13" i="1"/>
  <c r="T12" i="1"/>
  <c r="T11" i="1"/>
  <c r="T9" i="1"/>
  <c r="S48" i="1" l="1"/>
  <c r="S65" i="1"/>
  <c r="Y20" i="1" l="1"/>
  <c r="U69" i="1"/>
  <c r="U68" i="1"/>
  <c r="U66" i="1"/>
  <c r="U65" i="1"/>
  <c r="Q69" i="1"/>
  <c r="T69" i="1" s="1"/>
  <c r="Q68" i="1"/>
  <c r="T68" i="1" s="1"/>
  <c r="Q66" i="1"/>
  <c r="T66" i="1" s="1"/>
  <c r="Q65" i="1"/>
  <c r="T65" i="1" s="1"/>
  <c r="H16" i="2"/>
  <c r="H15" i="2"/>
  <c r="C5" i="2"/>
  <c r="U67" i="1" l="1"/>
  <c r="U25" i="1"/>
  <c r="S25" i="1" l="1"/>
  <c r="U57" i="1" l="1"/>
  <c r="L19" i="1" l="1"/>
  <c r="O19" i="1"/>
  <c r="Q19" i="1"/>
  <c r="C28" i="2"/>
  <c r="F28" i="2" l="1"/>
  <c r="H28" i="2" s="1"/>
  <c r="M10" i="2" s="1"/>
  <c r="O65" i="1"/>
  <c r="O12" i="1"/>
  <c r="O69" i="1" l="1"/>
  <c r="O86" i="1"/>
  <c r="O25" i="1"/>
  <c r="O88" i="1" l="1"/>
  <c r="C27" i="2"/>
  <c r="F26" i="2"/>
  <c r="H26" i="2" s="1"/>
  <c r="M8" i="2" s="1"/>
  <c r="C22" i="2"/>
  <c r="C21" i="2"/>
  <c r="L13" i="2" s="1"/>
  <c r="N13" i="2" s="1"/>
  <c r="Q53" i="1" s="1"/>
  <c r="T53" i="1" s="1"/>
  <c r="F20" i="2"/>
  <c r="C16" i="2"/>
  <c r="C15" i="2"/>
  <c r="K9" i="2" s="1"/>
  <c r="K8" i="2"/>
  <c r="C9" i="2"/>
  <c r="F9" i="2" s="1"/>
  <c r="C10" i="2"/>
  <c r="H20" i="2" l="1"/>
  <c r="L26" i="2"/>
  <c r="F22" i="2"/>
  <c r="L14" i="2"/>
  <c r="N14" i="2" s="1"/>
  <c r="Q55" i="1" s="1"/>
  <c r="C23" i="2"/>
  <c r="F21" i="2"/>
  <c r="H21" i="2" s="1"/>
  <c r="L9" i="2" s="1"/>
  <c r="F10" i="2"/>
  <c r="H10" i="2" s="1"/>
  <c r="C11" i="2"/>
  <c r="C17" i="2"/>
  <c r="H22" i="2"/>
  <c r="L10" i="2" s="1"/>
  <c r="F27" i="2"/>
  <c r="H27" i="2" s="1"/>
  <c r="M9" i="2" s="1"/>
  <c r="F7" i="2"/>
  <c r="H9" i="2"/>
  <c r="F98" i="1"/>
  <c r="F100" i="1" s="1"/>
  <c r="T55" i="1" l="1"/>
  <c r="U55" i="1"/>
  <c r="L8" i="2"/>
  <c r="N8" i="2" s="1"/>
  <c r="U52" i="1" s="1"/>
  <c r="H33" i="2"/>
  <c r="U56" i="1" s="1"/>
  <c r="N10" i="2"/>
  <c r="U54" i="1" s="1"/>
  <c r="N9" i="2"/>
  <c r="U53" i="1" s="1"/>
  <c r="F11" i="2"/>
  <c r="F31" i="2" s="1"/>
  <c r="H7" i="2"/>
  <c r="C12" i="2"/>
  <c r="Q58" i="1"/>
  <c r="U61" i="1" l="1"/>
  <c r="H11" i="2"/>
  <c r="U86" i="1" l="1"/>
  <c r="Q25" i="1"/>
  <c r="U26" i="1" s="1"/>
  <c r="U88" i="1" l="1"/>
  <c r="L54" i="1"/>
  <c r="J7" i="1"/>
  <c r="H25" i="1"/>
  <c r="H52" i="1"/>
  <c r="L52" i="1" s="1"/>
  <c r="H53" i="1"/>
  <c r="L53" i="1" s="1"/>
  <c r="H55" i="1"/>
  <c r="L55" i="1" s="1"/>
  <c r="H57" i="1"/>
  <c r="L57" i="1" s="1"/>
  <c r="H66" i="1"/>
  <c r="L66" i="1" s="1"/>
  <c r="H67" i="1"/>
  <c r="L67" i="1" s="1"/>
  <c r="H68" i="1"/>
  <c r="L68" i="1" s="1"/>
  <c r="H69" i="1"/>
  <c r="L69" i="1" s="1"/>
  <c r="Q86" i="1" s="1"/>
  <c r="L84" i="1"/>
  <c r="J84" i="1"/>
  <c r="L83" i="1"/>
  <c r="J83" i="1"/>
  <c r="L82" i="1"/>
  <c r="J82" i="1"/>
  <c r="L81" i="1"/>
  <c r="J81" i="1"/>
  <c r="L80" i="1"/>
  <c r="J80" i="1"/>
  <c r="L79" i="1"/>
  <c r="J79" i="1"/>
  <c r="L77" i="1"/>
  <c r="J77" i="1"/>
  <c r="L76" i="1"/>
  <c r="J76" i="1"/>
  <c r="L74" i="1"/>
  <c r="J74" i="1"/>
  <c r="L73" i="1"/>
  <c r="J73" i="1"/>
  <c r="L72" i="1"/>
  <c r="J72" i="1"/>
  <c r="L71" i="1"/>
  <c r="J71" i="1"/>
  <c r="L70" i="1"/>
  <c r="J70" i="1"/>
  <c r="L58" i="1"/>
  <c r="J58" i="1"/>
  <c r="J54" i="1"/>
  <c r="L51" i="1"/>
  <c r="J51" i="1"/>
  <c r="L50" i="1"/>
  <c r="J50" i="1"/>
  <c r="L49" i="1"/>
  <c r="J49" i="1"/>
  <c r="L48" i="1"/>
  <c r="J48" i="1"/>
  <c r="L47" i="1"/>
  <c r="J47" i="1"/>
  <c r="L44" i="1"/>
  <c r="J44" i="1"/>
  <c r="L43" i="1"/>
  <c r="J43" i="1"/>
  <c r="L42" i="1"/>
  <c r="J42" i="1"/>
  <c r="L40" i="1"/>
  <c r="J40" i="1"/>
  <c r="L39" i="1"/>
  <c r="J39" i="1"/>
  <c r="L38" i="1"/>
  <c r="J38" i="1"/>
  <c r="L35" i="1"/>
  <c r="J35" i="1"/>
  <c r="L32" i="1"/>
  <c r="J32" i="1"/>
  <c r="L31" i="1"/>
  <c r="J31" i="1"/>
  <c r="L24" i="1"/>
  <c r="J24" i="1"/>
  <c r="L23" i="1"/>
  <c r="J23" i="1"/>
  <c r="L22" i="1"/>
  <c r="J22" i="1"/>
  <c r="J19" i="1"/>
  <c r="L18" i="1"/>
  <c r="J18" i="1"/>
  <c r="L17" i="1"/>
  <c r="J17" i="1"/>
  <c r="L16" i="1"/>
  <c r="J16" i="1"/>
  <c r="L15" i="1"/>
  <c r="J15" i="1"/>
  <c r="L14" i="1"/>
  <c r="J14" i="1"/>
  <c r="J12" i="1"/>
  <c r="L10" i="1"/>
  <c r="J10" i="1"/>
  <c r="L9" i="1"/>
  <c r="J9" i="1"/>
  <c r="Q88" i="1" l="1"/>
  <c r="T86" i="1"/>
  <c r="U90" i="1"/>
  <c r="J67" i="1"/>
  <c r="F74" i="1"/>
  <c r="L25" i="1"/>
  <c r="J25" i="1"/>
  <c r="D70" i="1"/>
  <c r="D71" i="1"/>
  <c r="D72" i="1"/>
  <c r="D73" i="1"/>
  <c r="D74" i="1"/>
  <c r="D76" i="1"/>
  <c r="D77" i="1"/>
  <c r="D79" i="1"/>
  <c r="D80" i="1"/>
  <c r="D81" i="1"/>
  <c r="D82" i="1"/>
  <c r="D83" i="1"/>
  <c r="D84" i="1"/>
  <c r="D85" i="1"/>
  <c r="D9" i="1"/>
  <c r="D10" i="1"/>
  <c r="D12" i="1"/>
  <c r="D14" i="1"/>
  <c r="D15" i="1"/>
  <c r="D16" i="1"/>
  <c r="D17" i="1"/>
  <c r="D18" i="1"/>
  <c r="D19" i="1"/>
  <c r="D20" i="1"/>
  <c r="D22" i="1"/>
  <c r="D23" i="1"/>
  <c r="D24" i="1"/>
  <c r="F65" i="1"/>
  <c r="B65" i="1"/>
  <c r="D31" i="1"/>
  <c r="D32" i="1"/>
  <c r="D35" i="1"/>
  <c r="D38" i="1"/>
  <c r="D39" i="1"/>
  <c r="D40" i="1"/>
  <c r="D42" i="1"/>
  <c r="D43" i="1"/>
  <c r="D44" i="1"/>
  <c r="D47" i="1"/>
  <c r="D48" i="1"/>
  <c r="D49" i="1"/>
  <c r="D50" i="1"/>
  <c r="D51" i="1"/>
  <c r="D53" i="1"/>
  <c r="D54" i="1"/>
  <c r="D55" i="1"/>
  <c r="D57" i="1"/>
  <c r="D58" i="1"/>
  <c r="D66" i="1"/>
  <c r="D67" i="1"/>
  <c r="D68" i="1"/>
  <c r="D69" i="1"/>
  <c r="D30" i="1"/>
  <c r="D7" i="1"/>
  <c r="F25" i="1"/>
  <c r="B25" i="1"/>
  <c r="H65" i="1" l="1"/>
  <c r="J55" i="1"/>
  <c r="J57" i="1"/>
  <c r="J52" i="1"/>
  <c r="J53" i="1"/>
  <c r="J68" i="1"/>
  <c r="J69" i="1"/>
  <c r="J66" i="1"/>
  <c r="F86" i="1"/>
  <c r="F88" i="1" s="1"/>
  <c r="B86" i="1"/>
  <c r="B88" i="1" s="1"/>
  <c r="D65" i="1"/>
  <c r="D25" i="1"/>
  <c r="D52" i="1"/>
  <c r="H86" i="1" l="1"/>
  <c r="H88" i="1" s="1"/>
  <c r="L65" i="1"/>
  <c r="L86" i="1" s="1"/>
  <c r="L88" i="1" s="1"/>
  <c r="J65" i="1"/>
  <c r="J86" i="1" s="1"/>
  <c r="J88" i="1" s="1"/>
  <c r="D86" i="1"/>
  <c r="D88" i="1" s="1"/>
</calcChain>
</file>

<file path=xl/sharedStrings.xml><?xml version="1.0" encoding="utf-8"?>
<sst xmlns="http://schemas.openxmlformats.org/spreadsheetml/2006/main" count="265" uniqueCount="183">
  <si>
    <t>Income</t>
  </si>
  <si>
    <t>2021-2022</t>
  </si>
  <si>
    <t>UUA Endowment</t>
  </si>
  <si>
    <t>Contributions Restricted</t>
  </si>
  <si>
    <t xml:space="preserve">Confidential Assistance </t>
  </si>
  <si>
    <t>Product Sales</t>
  </si>
  <si>
    <t>Fundraising</t>
  </si>
  <si>
    <t>Pledge Income</t>
  </si>
  <si>
    <t>Church rent</t>
  </si>
  <si>
    <t>Horse Shed Rent</t>
  </si>
  <si>
    <t>Total Income</t>
  </si>
  <si>
    <t>Expenses</t>
  </si>
  <si>
    <t>Child Care</t>
  </si>
  <si>
    <t>Products Expense</t>
  </si>
  <si>
    <t>Community Supper</t>
  </si>
  <si>
    <t xml:space="preserve">Fundraising </t>
  </si>
  <si>
    <t>Care</t>
  </si>
  <si>
    <t>Marketing</t>
  </si>
  <si>
    <t>Music</t>
  </si>
  <si>
    <t>Social Justice</t>
  </si>
  <si>
    <t>Stewardship</t>
  </si>
  <si>
    <t>Worship</t>
  </si>
  <si>
    <t>Payroll Taxes</t>
  </si>
  <si>
    <t>Employee Benefits</t>
  </si>
  <si>
    <t>Pension</t>
  </si>
  <si>
    <t>Workers Comp</t>
  </si>
  <si>
    <t>Minister &amp; Housing</t>
  </si>
  <si>
    <t>Employer FICA</t>
  </si>
  <si>
    <t>Benefits</t>
  </si>
  <si>
    <t>Retirement</t>
  </si>
  <si>
    <t>Confidential Fund</t>
  </si>
  <si>
    <t>UUA Dues</t>
  </si>
  <si>
    <t>Insurance</t>
  </si>
  <si>
    <t>Office</t>
  </si>
  <si>
    <t>Professional Fees</t>
  </si>
  <si>
    <t>Telephone/Internet</t>
  </si>
  <si>
    <t>Fuel Oil</t>
  </si>
  <si>
    <t>Misc Repairs</t>
  </si>
  <si>
    <t>Maintenance</t>
  </si>
  <si>
    <t>Real Estate Taxes</t>
  </si>
  <si>
    <t>Utilities</t>
  </si>
  <si>
    <t>Wood Pellets</t>
  </si>
  <si>
    <t>Total Expenses</t>
  </si>
  <si>
    <t>Notes</t>
  </si>
  <si>
    <t>Special Funds in our UUA CEF</t>
  </si>
  <si>
    <t>Directed Current Donations</t>
  </si>
  <si>
    <t>Professional Expenses</t>
  </si>
  <si>
    <t xml:space="preserve">Staff </t>
  </si>
  <si>
    <t>Staff</t>
  </si>
  <si>
    <t>Budget</t>
  </si>
  <si>
    <t>Surplus or (Deficit)</t>
  </si>
  <si>
    <t xml:space="preserve">Collections,Donations </t>
  </si>
  <si>
    <t>Professional, out of pocket</t>
  </si>
  <si>
    <t>Lay Train pastoral/worship</t>
  </si>
  <si>
    <t>Expenses (continued)</t>
  </si>
  <si>
    <t>Community Supper donation</t>
  </si>
  <si>
    <t>Guest Ministers</t>
  </si>
  <si>
    <t>Actual 3/31</t>
  </si>
  <si>
    <t>2022-2023</t>
  </si>
  <si>
    <t>Expect 3/31</t>
  </si>
  <si>
    <t xml:space="preserve"> </t>
  </si>
  <si>
    <t>2021-22 included Preschool business rental</t>
  </si>
  <si>
    <t>2021-22 included Increased use by preschool</t>
  </si>
  <si>
    <t xml:space="preserve">Staff Salaries </t>
  </si>
  <si>
    <t>7 Services</t>
  </si>
  <si>
    <t>Music Maint / Repairs</t>
  </si>
  <si>
    <t>Lay development/workshop</t>
  </si>
  <si>
    <t>Tech Expenses</t>
  </si>
  <si>
    <t>Equipment/Consulting/Worship Person?</t>
  </si>
  <si>
    <t>Includes bank fees</t>
  </si>
  <si>
    <t>Cmte on Shared Ministry(s)</t>
  </si>
  <si>
    <t>Initial Board</t>
  </si>
  <si>
    <t>Portion of indiv. health,disability,life</t>
  </si>
  <si>
    <t>Custodian Housing - subsidized</t>
  </si>
  <si>
    <t xml:space="preserve">2021-22 included Preschool rent </t>
  </si>
  <si>
    <t>Minister</t>
  </si>
  <si>
    <t>Minister - Increase to 3/4 time</t>
  </si>
  <si>
    <t>$20K Music Hire(s)</t>
  </si>
  <si>
    <t>Budget Hearing</t>
  </si>
  <si>
    <t>Service Fund</t>
  </si>
  <si>
    <t>Operations Fund</t>
  </si>
  <si>
    <t>Operating Fund Endowment withdrawal</t>
  </si>
  <si>
    <t>Lyceum Donation</t>
  </si>
  <si>
    <t>Was previously within "Collections,Donations"</t>
  </si>
  <si>
    <t>Collections for SJ Match</t>
  </si>
  <si>
    <t>Parsonage Sale (until 10/2026)</t>
  </si>
  <si>
    <t>→</t>
  </si>
  <si>
    <t>Service Fund Endowment withdrawal with $1K</t>
  </si>
  <si>
    <t>Exclusive of SJ Matching Plate Collection</t>
  </si>
  <si>
    <t>Draft Budget</t>
  </si>
  <si>
    <t>2023-2024</t>
  </si>
  <si>
    <t>Pledges</t>
  </si>
  <si>
    <t>Ask%</t>
  </si>
  <si>
    <t>Gross</t>
  </si>
  <si>
    <t>Compliance</t>
  </si>
  <si>
    <t>Expected</t>
  </si>
  <si>
    <t>Membership</t>
  </si>
  <si>
    <t xml:space="preserve">Community Grants </t>
  </si>
  <si>
    <t>2022/2023</t>
  </si>
  <si>
    <t>2023/2024</t>
  </si>
  <si>
    <t>Increase</t>
  </si>
  <si>
    <t>Total</t>
  </si>
  <si>
    <t>Lane</t>
  </si>
  <si>
    <t>Staff Salaries for Budget</t>
  </si>
  <si>
    <t>Salary</t>
  </si>
  <si>
    <t>Housing</t>
  </si>
  <si>
    <t>Vanessa</t>
  </si>
  <si>
    <t>Paul</t>
  </si>
  <si>
    <t>FICA</t>
  </si>
  <si>
    <t>Prof. Dev.</t>
  </si>
  <si>
    <t xml:space="preserve">Salary </t>
  </si>
  <si>
    <t xml:space="preserve">Cost of increase </t>
  </si>
  <si>
    <t>Actual</t>
  </si>
  <si>
    <t>Actual to</t>
  </si>
  <si>
    <t>to 4/30/2023</t>
  </si>
  <si>
    <t>Peterborough Unitarian Universalist Church</t>
  </si>
  <si>
    <t>Carll House Rent</t>
  </si>
  <si>
    <t>Mortgage receipts</t>
  </si>
  <si>
    <t>Guest Musicians</t>
  </si>
  <si>
    <t>Earth based celebration</t>
  </si>
  <si>
    <t>Lifespan Faith Devlopment</t>
  </si>
  <si>
    <t>Music Director Prof. Devt</t>
  </si>
  <si>
    <t>Admin Prof. Devt</t>
  </si>
  <si>
    <t>DRE Prof. Devt.</t>
  </si>
  <si>
    <t>Final Budget for FY 2023-2024 approved by the congregation on 6/11/2023</t>
  </si>
  <si>
    <t>2024-2025</t>
  </si>
  <si>
    <t>(NEW) Hospitality</t>
  </si>
  <si>
    <t>(New) Leader of Congregational Singing</t>
  </si>
  <si>
    <t>(NEW) Donations to Community</t>
  </si>
  <si>
    <t>(NEW) Prepaid Phone for Office</t>
  </si>
  <si>
    <t>New:  Admin new hire overlap</t>
  </si>
  <si>
    <t xml:space="preserve">(NEW) fUUn Committee </t>
  </si>
  <si>
    <t>Salary +</t>
  </si>
  <si>
    <t>Music Director</t>
  </si>
  <si>
    <t>Vanessa's new hire "Shadow"</t>
  </si>
  <si>
    <t>Expenses difference from 2023</t>
  </si>
  <si>
    <t>Income difference from 2023</t>
  </si>
  <si>
    <t>Interest Income</t>
  </si>
  <si>
    <t>Social Justice Plate + Fund Match</t>
  </si>
  <si>
    <t>to 03/31/2024</t>
  </si>
  <si>
    <t>to 3/31/2024</t>
  </si>
  <si>
    <t>2024-2025 Mortgage Replacement Amount (should be less than "Surplus"</t>
  </si>
  <si>
    <t>% of 2023-24</t>
  </si>
  <si>
    <t xml:space="preserve">Legend:  </t>
  </si>
  <si>
    <t>Exceeds budgeted Income</t>
  </si>
  <si>
    <t>Exceeds Budgeted Expense</t>
  </si>
  <si>
    <t>For FY 2024-2025 (draft)</t>
  </si>
  <si>
    <t>2023 Salary</t>
  </si>
  <si>
    <t>Fica</t>
  </si>
  <si>
    <t>Health Ins</t>
  </si>
  <si>
    <t>Mortgage receipts end November 2028</t>
  </si>
  <si>
    <t>Anticipate lower fundraising income next year</t>
  </si>
  <si>
    <t>Anticipate higher interest income next year</t>
  </si>
  <si>
    <t>This is a new category</t>
  </si>
  <si>
    <t>This is a new (resurrected) category</t>
  </si>
  <si>
    <t>Contracted amount for 2024-2025</t>
  </si>
  <si>
    <t>4% Staff Salary increase</t>
  </si>
  <si>
    <t>"</t>
  </si>
  <si>
    <t>Corresponds to 4% Staff Salary increase</t>
  </si>
  <si>
    <t>This is a new category for 2024-2025</t>
  </si>
  <si>
    <t>Inflation has increased our office expenses</t>
  </si>
  <si>
    <t>Wood Pellet Costs have increased</t>
  </si>
  <si>
    <t>2024 Goal:</t>
  </si>
  <si>
    <t xml:space="preserve">Difference: </t>
  </si>
  <si>
    <t>We had higher fundraising expenses this year</t>
  </si>
  <si>
    <t>This was not referenced in the 2023 budget</t>
  </si>
  <si>
    <t>2 months of new Admin overlap for training</t>
  </si>
  <si>
    <t>New Music Director = fewer Guest Musicians</t>
  </si>
  <si>
    <t>New category for a pre-paid office phone</t>
  </si>
  <si>
    <t>Tech expenses come out of Tech Fund</t>
  </si>
  <si>
    <t>Fuel Oil anticipated to be lower in 2024-2025</t>
  </si>
  <si>
    <t>Merged with "Maintenance" for 2024-2025</t>
  </si>
  <si>
    <t>Maintenance has been costing more lately</t>
  </si>
  <si>
    <t>2028 Mortgage Replacement (see Stewardship Campaign); will be invested by Finance Committee</t>
  </si>
  <si>
    <t>Plan for 9 guest ministers at $315 per instance</t>
  </si>
  <si>
    <t>Addt'l $100 to send more people to UUA</t>
  </si>
  <si>
    <t>Peterborough 2024 Real Estate Tax increase</t>
  </si>
  <si>
    <t>Utilities have been lately due to inflation</t>
  </si>
  <si>
    <t>This is a new category, includes Thanksgiving Turkeys and Coffee Hour basics</t>
  </si>
  <si>
    <t xml:space="preserve">2024  SJ expenses are projected to be higher </t>
  </si>
  <si>
    <t>(NEW) Accessibility Task Force</t>
  </si>
  <si>
    <t>New category for task force expenses not including capital improvements</t>
  </si>
  <si>
    <t>Updates since last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</si>
</sst>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7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b/>
      <i/>
      <sz val="11"/>
      <name val="Arial"/>
      <family val="2"/>
    </font>
    <font>
      <sz val="11"/>
      <color theme="4" tint="-0.249977111117893"/>
      <name val="Arial Narrow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name val="Arial"/>
      <family val="2"/>
    </font>
    <font>
      <sz val="11"/>
      <color rgb="FF00B050"/>
      <name val="Arial"/>
      <family val="2"/>
    </font>
    <font>
      <sz val="11"/>
      <color theme="7" tint="-0.249977111117893"/>
      <name val="Arial"/>
      <family val="2"/>
    </font>
    <font>
      <sz val="11"/>
      <color rgb="FF00B0F0"/>
      <name val="Arial"/>
      <family val="2"/>
    </font>
    <font>
      <b/>
      <sz val="11"/>
      <color rgb="FF00B0F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6">
    <xf numFmtId="0" fontId="0" fillId="0" borderId="0" xfId="0"/>
    <xf numFmtId="42" fontId="1" fillId="0" borderId="0" xfId="0" applyNumberFormat="1" applyFont="1"/>
    <xf numFmtId="42" fontId="1" fillId="0" borderId="0" xfId="0" applyNumberFormat="1" applyFont="1" applyAlignment="1">
      <alignment horizontal="center"/>
    </xf>
    <xf numFmtId="0" fontId="1" fillId="0" borderId="0" xfId="0" applyFont="1"/>
    <xf numFmtId="42" fontId="2" fillId="0" borderId="0" xfId="0" applyNumberFormat="1" applyFont="1" applyAlignment="1">
      <alignment horizontal="center"/>
    </xf>
    <xf numFmtId="0" fontId="2" fillId="0" borderId="0" xfId="0" applyFont="1"/>
    <xf numFmtId="42" fontId="2" fillId="0" borderId="1" xfId="0" applyNumberFormat="1" applyFont="1" applyBorder="1"/>
    <xf numFmtId="42" fontId="2" fillId="0" borderId="1" xfId="0" applyNumberFormat="1" applyFont="1" applyBorder="1" applyAlignment="1">
      <alignment horizontal="center"/>
    </xf>
    <xf numFmtId="42" fontId="3" fillId="0" borderId="0" xfId="0" applyNumberFormat="1" applyFont="1" applyAlignment="1">
      <alignment horizontal="center"/>
    </xf>
    <xf numFmtId="42" fontId="4" fillId="0" borderId="0" xfId="0" applyNumberFormat="1" applyFont="1"/>
    <xf numFmtId="42" fontId="1" fillId="0" borderId="2" xfId="0" applyNumberFormat="1" applyFont="1" applyBorder="1"/>
    <xf numFmtId="42" fontId="2" fillId="0" borderId="0" xfId="0" applyNumberFormat="1" applyFont="1"/>
    <xf numFmtId="164" fontId="4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right"/>
    </xf>
    <xf numFmtId="42" fontId="6" fillId="0" borderId="0" xfId="0" applyNumberFormat="1" applyFont="1"/>
    <xf numFmtId="42" fontId="6" fillId="0" borderId="0" xfId="0" applyNumberFormat="1" applyFont="1" applyAlignment="1">
      <alignment horizontal="center"/>
    </xf>
    <xf numFmtId="0" fontId="4" fillId="0" borderId="0" xfId="0" applyFont="1"/>
    <xf numFmtId="42" fontId="7" fillId="0" borderId="0" xfId="0" applyNumberFormat="1" applyFont="1"/>
    <xf numFmtId="9" fontId="1" fillId="0" borderId="0" xfId="0" applyNumberFormat="1" applyFont="1"/>
    <xf numFmtId="3" fontId="1" fillId="0" borderId="0" xfId="0" applyNumberFormat="1" applyFont="1"/>
    <xf numFmtId="44" fontId="1" fillId="0" borderId="0" xfId="1" applyFont="1" applyFill="1"/>
    <xf numFmtId="42" fontId="2" fillId="0" borderId="3" xfId="0" applyNumberFormat="1" applyFont="1" applyBorder="1" applyAlignment="1">
      <alignment horizontal="center"/>
    </xf>
    <xf numFmtId="42" fontId="5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indent="1"/>
    </xf>
    <xf numFmtId="42" fontId="9" fillId="0" borderId="0" xfId="0" applyNumberFormat="1" applyFont="1"/>
    <xf numFmtId="0" fontId="10" fillId="0" borderId="0" xfId="0" applyFont="1" applyAlignment="1">
      <alignment horizontal="center"/>
    </xf>
    <xf numFmtId="42" fontId="10" fillId="0" borderId="0" xfId="0" applyNumberFormat="1" applyFont="1"/>
    <xf numFmtId="0" fontId="2" fillId="0" borderId="0" xfId="0" applyFont="1" applyAlignment="1">
      <alignment horizontal="center"/>
    </xf>
    <xf numFmtId="0" fontId="11" fillId="0" borderId="0" xfId="0" applyFont="1"/>
    <xf numFmtId="42" fontId="1" fillId="2" borderId="0" xfId="0" applyNumberFormat="1" applyFont="1" applyFill="1"/>
    <xf numFmtId="42" fontId="1" fillId="3" borderId="0" xfId="0" applyNumberFormat="1" applyFont="1" applyFill="1"/>
    <xf numFmtId="0" fontId="3" fillId="0" borderId="0" xfId="0" applyFont="1"/>
    <xf numFmtId="44" fontId="0" fillId="0" borderId="0" xfId="0" applyNumberFormat="1"/>
    <xf numFmtId="44" fontId="12" fillId="0" borderId="0" xfId="0" applyNumberFormat="1" applyFont="1"/>
    <xf numFmtId="42" fontId="1" fillId="4" borderId="0" xfId="0" applyNumberFormat="1" applyFont="1" applyFill="1"/>
    <xf numFmtId="42" fontId="2" fillId="3" borderId="0" xfId="0" applyNumberFormat="1" applyFont="1" applyFill="1"/>
    <xf numFmtId="42" fontId="1" fillId="5" borderId="0" xfId="0" applyNumberFormat="1" applyFont="1" applyFill="1"/>
    <xf numFmtId="42" fontId="2" fillId="6" borderId="0" xfId="0" applyNumberFormat="1" applyFont="1" applyFill="1"/>
    <xf numFmtId="42" fontId="0" fillId="0" borderId="0" xfId="0" applyNumberFormat="1"/>
    <xf numFmtId="42" fontId="1" fillId="7" borderId="0" xfId="0" applyNumberFormat="1" applyFont="1" applyFill="1" applyAlignment="1">
      <alignment wrapText="1"/>
    </xf>
    <xf numFmtId="42" fontId="1" fillId="7" borderId="0" xfId="0" applyNumberFormat="1" applyFont="1" applyFill="1"/>
    <xf numFmtId="42" fontId="3" fillId="0" borderId="0" xfId="0" applyNumberFormat="1" applyFont="1" applyAlignment="1">
      <alignment horizontal="center"/>
    </xf>
    <xf numFmtId="42" fontId="1" fillId="0" borderId="0" xfId="0" applyNumberFormat="1" applyFont="1" applyFill="1"/>
    <xf numFmtId="0" fontId="1" fillId="0" borderId="0" xfId="0" applyFont="1" applyFill="1"/>
    <xf numFmtId="42" fontId="3" fillId="0" borderId="0" xfId="0" applyNumberFormat="1" applyFont="1" applyAlignment="1">
      <alignment horizontal="center"/>
    </xf>
    <xf numFmtId="44" fontId="9" fillId="0" borderId="0" xfId="0" applyNumberFormat="1" applyFont="1"/>
    <xf numFmtId="0" fontId="1" fillId="10" borderId="0" xfId="0" applyFont="1" applyFill="1"/>
    <xf numFmtId="42" fontId="1" fillId="10" borderId="0" xfId="0" applyNumberFormat="1" applyFont="1" applyFill="1"/>
    <xf numFmtId="42" fontId="1" fillId="10" borderId="0" xfId="0" applyNumberFormat="1" applyFont="1" applyFill="1" applyAlignment="1">
      <alignment horizontal="center"/>
    </xf>
    <xf numFmtId="42" fontId="4" fillId="10" borderId="0" xfId="0" applyNumberFormat="1" applyFont="1" applyFill="1"/>
    <xf numFmtId="0" fontId="13" fillId="0" borderId="0" xfId="0" applyFont="1"/>
    <xf numFmtId="42" fontId="13" fillId="0" borderId="0" xfId="0" applyNumberFormat="1" applyFont="1"/>
    <xf numFmtId="0" fontId="6" fillId="9" borderId="0" xfId="0" applyFont="1" applyFill="1" applyAlignment="1">
      <alignment horizontal="right" wrapText="1"/>
    </xf>
    <xf numFmtId="9" fontId="2" fillId="0" borderId="0" xfId="2" applyFont="1" applyAlignment="1">
      <alignment horizontal="center"/>
    </xf>
    <xf numFmtId="9" fontId="1" fillId="0" borderId="0" xfId="2" applyFont="1"/>
    <xf numFmtId="9" fontId="1" fillId="10" borderId="0" xfId="2" applyFont="1" applyFill="1"/>
    <xf numFmtId="9" fontId="1" fillId="7" borderId="0" xfId="2" applyFont="1" applyFill="1"/>
    <xf numFmtId="9" fontId="1" fillId="0" borderId="0" xfId="2" applyFont="1" applyFill="1"/>
    <xf numFmtId="42" fontId="4" fillId="4" borderId="0" xfId="0" applyNumberFormat="1" applyFont="1" applyFill="1"/>
    <xf numFmtId="9" fontId="13" fillId="0" borderId="0" xfId="2" applyFont="1"/>
    <xf numFmtId="0" fontId="14" fillId="0" borderId="0" xfId="0" applyFont="1"/>
    <xf numFmtId="9" fontId="14" fillId="0" borderId="0" xfId="2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44" fontId="1" fillId="0" borderId="0" xfId="0" applyNumberFormat="1" applyFont="1"/>
    <xf numFmtId="42" fontId="1" fillId="11" borderId="0" xfId="0" applyNumberFormat="1" applyFont="1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6" fontId="1" fillId="12" borderId="0" xfId="0" applyNumberFormat="1" applyFont="1" applyFill="1"/>
    <xf numFmtId="0" fontId="1" fillId="12" borderId="0" xfId="0" applyFont="1" applyFill="1" applyAlignment="1">
      <alignment horizontal="left" wrapText="1"/>
    </xf>
    <xf numFmtId="42" fontId="15" fillId="4" borderId="0" xfId="0" applyNumberFormat="1" applyFont="1" applyFill="1"/>
    <xf numFmtId="6" fontId="15" fillId="4" borderId="0" xfId="0" applyNumberFormat="1" applyFont="1" applyFill="1"/>
    <xf numFmtId="0" fontId="15" fillId="0" borderId="0" xfId="0" applyFont="1"/>
    <xf numFmtId="42" fontId="15" fillId="8" borderId="0" xfId="0" applyNumberFormat="1" applyFont="1" applyFill="1"/>
    <xf numFmtId="42" fontId="15" fillId="2" borderId="0" xfId="0" applyNumberFormat="1" applyFont="1" applyFill="1"/>
    <xf numFmtId="42" fontId="16" fillId="3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topLeftCell="A14" zoomScale="140" zoomScaleNormal="140" workbookViewId="0">
      <selection activeCell="U25" sqref="U25"/>
    </sheetView>
  </sheetViews>
  <sheetFormatPr defaultColWidth="8.8203125" defaultRowHeight="13.7" x14ac:dyDescent="0.4"/>
  <cols>
    <col min="1" max="1" width="24.46875" style="3" customWidth="1"/>
    <col min="2" max="2" width="11.703125" style="1" hidden="1" customWidth="1"/>
    <col min="3" max="3" width="2.703125" style="1" hidden="1" customWidth="1"/>
    <col min="4" max="4" width="11.703125" style="1" hidden="1" customWidth="1"/>
    <col min="5" max="5" width="2.703125" style="1" hidden="1" customWidth="1"/>
    <col min="6" max="6" width="11.703125" style="1" hidden="1" customWidth="1"/>
    <col min="7" max="7" width="8.703125" style="2" hidden="1" customWidth="1"/>
    <col min="8" max="8" width="11.703125" style="1" hidden="1" customWidth="1"/>
    <col min="9" max="9" width="2.703125" style="2" hidden="1" customWidth="1"/>
    <col min="10" max="10" width="13.29296875" style="1" hidden="1" customWidth="1"/>
    <col min="11" max="11" width="5.703125" style="2" hidden="1" customWidth="1"/>
    <col min="12" max="12" width="11.703125" style="1" hidden="1" customWidth="1"/>
    <col min="13" max="13" width="2.703125" style="2" hidden="1" customWidth="1"/>
    <col min="14" max="15" width="11.703125" style="1" hidden="1" customWidth="1"/>
    <col min="16" max="16" width="3.8203125" style="1" customWidth="1"/>
    <col min="17" max="17" width="12.8203125" style="1" bestFit="1" customWidth="1"/>
    <col min="18" max="18" width="2.9375" style="1" customWidth="1"/>
    <col min="19" max="19" width="11.64453125" style="1" customWidth="1"/>
    <col min="20" max="20" width="12.41015625" style="61" customWidth="1"/>
    <col min="21" max="21" width="11.9375" style="1" customWidth="1"/>
    <col min="22" max="22" width="11.1171875" style="3" customWidth="1"/>
    <col min="23" max="23" width="10.46875" style="3" customWidth="1"/>
    <col min="24" max="24" width="10.234375" style="3" customWidth="1"/>
    <col min="25" max="25" width="8.8203125" style="3"/>
    <col min="26" max="26" width="18.8203125" style="3" customWidth="1"/>
    <col min="27" max="16384" width="8.8203125" style="3"/>
  </cols>
  <sheetData>
    <row r="1" spans="1:25" ht="13.75" customHeight="1" x14ac:dyDescent="0.4">
      <c r="A1" s="70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4"/>
      <c r="T1" s="60"/>
      <c r="U1" s="34"/>
      <c r="V1" s="3" t="s">
        <v>143</v>
      </c>
      <c r="W1" s="57" t="s">
        <v>144</v>
      </c>
      <c r="X1" s="57"/>
      <c r="Y1" s="57"/>
    </row>
    <row r="2" spans="1:25" ht="16" customHeight="1" x14ac:dyDescent="0.5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W2" s="67" t="s">
        <v>145</v>
      </c>
      <c r="X2" s="67"/>
      <c r="Y2" s="67"/>
    </row>
    <row r="3" spans="1:25" ht="28" customHeight="1" x14ac:dyDescent="0.4">
      <c r="A3" s="70" t="s">
        <v>124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4"/>
      <c r="T3" s="60"/>
      <c r="U3" s="69" t="s">
        <v>146</v>
      </c>
      <c r="W3" s="82" t="s">
        <v>182</v>
      </c>
      <c r="X3" s="82"/>
      <c r="Y3" s="82"/>
    </row>
    <row r="4" spans="1:25" ht="14.2" customHeight="1" x14ac:dyDescent="0.5">
      <c r="B4" s="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5" ht="14.2" customHeight="1" x14ac:dyDescent="0.4">
      <c r="B5" s="4" t="s">
        <v>49</v>
      </c>
      <c r="C5" s="4"/>
      <c r="D5" s="4" t="s">
        <v>59</v>
      </c>
      <c r="E5" s="4"/>
      <c r="F5" s="4" t="s">
        <v>57</v>
      </c>
      <c r="G5" s="4"/>
      <c r="H5" s="13" t="s">
        <v>71</v>
      </c>
      <c r="I5" s="4"/>
      <c r="J5" s="4" t="s">
        <v>78</v>
      </c>
      <c r="L5" s="4" t="s">
        <v>49</v>
      </c>
      <c r="O5" s="4" t="s">
        <v>113</v>
      </c>
      <c r="Q5" s="11" t="s">
        <v>49</v>
      </c>
      <c r="S5" s="37" t="s">
        <v>112</v>
      </c>
      <c r="T5" s="61" t="s">
        <v>142</v>
      </c>
      <c r="U5" s="36" t="s">
        <v>89</v>
      </c>
    </row>
    <row r="6" spans="1:25" ht="14.2" customHeight="1" thickBot="1" x14ac:dyDescent="0.45">
      <c r="A6" s="14" t="s">
        <v>0</v>
      </c>
      <c r="B6" s="6" t="s">
        <v>1</v>
      </c>
      <c r="D6" s="7" t="s">
        <v>1</v>
      </c>
      <c r="F6" s="7" t="s">
        <v>1</v>
      </c>
      <c r="H6" s="7" t="s">
        <v>58</v>
      </c>
      <c r="J6" s="7" t="s">
        <v>58</v>
      </c>
      <c r="L6" s="7" t="s">
        <v>58</v>
      </c>
      <c r="N6" s="6" t="s">
        <v>43</v>
      </c>
      <c r="O6" s="25">
        <v>45046</v>
      </c>
      <c r="P6" s="11"/>
      <c r="Q6" s="23" t="s">
        <v>90</v>
      </c>
      <c r="R6"/>
      <c r="S6" s="37" t="s">
        <v>139</v>
      </c>
      <c r="T6" s="61" t="s">
        <v>49</v>
      </c>
      <c r="U6" s="36" t="s">
        <v>125</v>
      </c>
    </row>
    <row r="7" spans="1:25" ht="14.2" customHeight="1" x14ac:dyDescent="0.5">
      <c r="A7" s="3" t="s">
        <v>80</v>
      </c>
      <c r="B7" s="1">
        <v>20000</v>
      </c>
      <c r="D7" s="1">
        <f>B7*0.75</f>
        <v>15000</v>
      </c>
      <c r="F7" s="1">
        <v>0</v>
      </c>
      <c r="G7" s="8"/>
      <c r="H7" s="1">
        <v>0</v>
      </c>
      <c r="I7" s="8"/>
      <c r="J7" s="1">
        <f>5000+734</f>
        <v>5734</v>
      </c>
      <c r="K7" s="8" t="s">
        <v>86</v>
      </c>
      <c r="L7" s="1">
        <v>4313</v>
      </c>
      <c r="M7" s="8"/>
      <c r="N7" s="9" t="s">
        <v>81</v>
      </c>
      <c r="Q7" s="1">
        <v>2000</v>
      </c>
      <c r="S7" s="43">
        <v>0</v>
      </c>
      <c r="U7" s="41">
        <v>2000</v>
      </c>
    </row>
    <row r="8" spans="1:25" ht="14.2" customHeight="1" x14ac:dyDescent="0.5">
      <c r="A8" s="3" t="s">
        <v>79</v>
      </c>
      <c r="G8" s="8"/>
      <c r="I8" s="8"/>
      <c r="K8" s="8" t="s">
        <v>86</v>
      </c>
      <c r="L8" s="1">
        <v>6000</v>
      </c>
      <c r="M8" s="8"/>
      <c r="N8" s="9" t="s">
        <v>87</v>
      </c>
      <c r="O8" s="1">
        <v>5180</v>
      </c>
      <c r="Q8" s="1">
        <v>5000</v>
      </c>
      <c r="S8" s="43">
        <v>0</v>
      </c>
      <c r="U8" s="41">
        <v>5000</v>
      </c>
    </row>
    <row r="9" spans="1:25" ht="14.2" customHeight="1" x14ac:dyDescent="0.45">
      <c r="A9" s="3" t="s">
        <v>2</v>
      </c>
      <c r="B9" s="1">
        <v>1500</v>
      </c>
      <c r="D9" s="1">
        <f t="shared" ref="D9:D24" si="0">B9*0.75</f>
        <v>1125</v>
      </c>
      <c r="F9" s="1">
        <v>1529</v>
      </c>
      <c r="H9" s="1">
        <v>1529</v>
      </c>
      <c r="J9" s="1">
        <f t="shared" ref="J9:J19" si="1">H9</f>
        <v>1529</v>
      </c>
      <c r="L9" s="1">
        <f t="shared" ref="L9:L18" si="2">H9</f>
        <v>1529</v>
      </c>
      <c r="N9" s="9" t="s">
        <v>44</v>
      </c>
      <c r="O9" s="1">
        <v>1590</v>
      </c>
      <c r="Q9" s="1">
        <v>1530</v>
      </c>
      <c r="S9" s="43">
        <v>1578</v>
      </c>
      <c r="T9" s="66">
        <f>S9/Q9</f>
        <v>1.031372549019608</v>
      </c>
      <c r="U9" s="41">
        <v>1530</v>
      </c>
    </row>
    <row r="10" spans="1:25" ht="14.2" customHeight="1" x14ac:dyDescent="0.45">
      <c r="A10" s="3" t="s">
        <v>3</v>
      </c>
      <c r="B10" s="1">
        <v>500</v>
      </c>
      <c r="D10" s="1">
        <f t="shared" si="0"/>
        <v>375</v>
      </c>
      <c r="F10" s="1">
        <v>0</v>
      </c>
      <c r="H10" s="1">
        <v>0</v>
      </c>
      <c r="J10" s="1">
        <f t="shared" si="1"/>
        <v>0</v>
      </c>
      <c r="L10" s="1">
        <f t="shared" si="2"/>
        <v>0</v>
      </c>
      <c r="N10" s="9" t="s">
        <v>45</v>
      </c>
      <c r="S10" s="43"/>
      <c r="U10" s="41"/>
    </row>
    <row r="11" spans="1:25" ht="14.2" customHeight="1" x14ac:dyDescent="0.5">
      <c r="A11" s="3" t="s">
        <v>82</v>
      </c>
      <c r="K11" s="8" t="s">
        <v>86</v>
      </c>
      <c r="L11" s="1">
        <v>2200</v>
      </c>
      <c r="N11" s="9" t="s">
        <v>83</v>
      </c>
      <c r="O11" s="1">
        <v>2200</v>
      </c>
      <c r="Q11" s="1">
        <v>2200</v>
      </c>
      <c r="S11" s="43">
        <v>2200</v>
      </c>
      <c r="T11" s="61">
        <f t="shared" ref="T11:T25" si="3">S11/Q11</f>
        <v>1</v>
      </c>
      <c r="U11" s="41">
        <v>2200</v>
      </c>
    </row>
    <row r="12" spans="1:25" ht="14.2" customHeight="1" x14ac:dyDescent="0.5">
      <c r="A12" s="3" t="s">
        <v>51</v>
      </c>
      <c r="B12" s="1">
        <v>9000</v>
      </c>
      <c r="D12" s="1">
        <f t="shared" si="0"/>
        <v>6750</v>
      </c>
      <c r="F12" s="1">
        <v>11562</v>
      </c>
      <c r="H12" s="1">
        <v>11500</v>
      </c>
      <c r="J12" s="1">
        <f t="shared" si="1"/>
        <v>11500</v>
      </c>
      <c r="K12" s="8" t="s">
        <v>86</v>
      </c>
      <c r="L12" s="1">
        <v>7000</v>
      </c>
      <c r="N12" s="9" t="s">
        <v>88</v>
      </c>
      <c r="O12" s="1">
        <f>20466+34</f>
        <v>20500</v>
      </c>
      <c r="Q12" s="1">
        <v>5000</v>
      </c>
      <c r="S12" s="43">
        <v>7033</v>
      </c>
      <c r="T12" s="66">
        <f t="shared" si="3"/>
        <v>1.4066000000000001</v>
      </c>
      <c r="U12" s="41">
        <v>5000</v>
      </c>
    </row>
    <row r="13" spans="1:25" ht="14.2" customHeight="1" x14ac:dyDescent="0.5">
      <c r="A13" s="3" t="s">
        <v>84</v>
      </c>
      <c r="K13" s="8" t="s">
        <v>86</v>
      </c>
      <c r="L13" s="1">
        <v>5000</v>
      </c>
      <c r="N13" s="9"/>
      <c r="Q13" s="1">
        <v>5000</v>
      </c>
      <c r="S13" s="43">
        <v>5417</v>
      </c>
      <c r="T13" s="66">
        <f t="shared" si="3"/>
        <v>1.0833999999999999</v>
      </c>
      <c r="U13" s="41">
        <v>5000</v>
      </c>
      <c r="V13" s="35"/>
    </row>
    <row r="14" spans="1:25" ht="14.2" customHeight="1" x14ac:dyDescent="0.45">
      <c r="A14" s="3" t="s">
        <v>4</v>
      </c>
      <c r="B14" s="1">
        <v>500</v>
      </c>
      <c r="D14" s="1">
        <f t="shared" si="0"/>
        <v>375</v>
      </c>
      <c r="F14" s="1">
        <v>1271</v>
      </c>
      <c r="H14" s="1">
        <v>500</v>
      </c>
      <c r="J14" s="1">
        <f t="shared" si="1"/>
        <v>500</v>
      </c>
      <c r="L14" s="1">
        <f t="shared" si="2"/>
        <v>500</v>
      </c>
      <c r="N14" s="9"/>
      <c r="O14" s="1">
        <v>959</v>
      </c>
      <c r="Q14" s="1">
        <v>500</v>
      </c>
      <c r="S14" s="43">
        <v>2266</v>
      </c>
      <c r="T14" s="66">
        <f t="shared" si="3"/>
        <v>4.532</v>
      </c>
      <c r="U14" s="41">
        <v>500</v>
      </c>
    </row>
    <row r="15" spans="1:25" ht="14.2" customHeight="1" x14ac:dyDescent="0.45">
      <c r="A15" s="3" t="s">
        <v>55</v>
      </c>
      <c r="B15" s="1">
        <v>1500</v>
      </c>
      <c r="D15" s="1">
        <f t="shared" si="0"/>
        <v>1125</v>
      </c>
      <c r="F15" s="1">
        <v>846</v>
      </c>
      <c r="H15" s="1">
        <v>1500</v>
      </c>
      <c r="J15" s="1">
        <f t="shared" si="1"/>
        <v>1500</v>
      </c>
      <c r="L15" s="1">
        <f t="shared" si="2"/>
        <v>1500</v>
      </c>
      <c r="N15" s="9"/>
      <c r="Q15" s="1">
        <v>2000</v>
      </c>
      <c r="S15" s="43">
        <v>5684</v>
      </c>
      <c r="T15" s="66">
        <f t="shared" si="3"/>
        <v>2.8420000000000001</v>
      </c>
      <c r="U15" s="41">
        <v>2000</v>
      </c>
    </row>
    <row r="16" spans="1:25" ht="14.2" customHeight="1" x14ac:dyDescent="0.45">
      <c r="A16" s="3" t="s">
        <v>97</v>
      </c>
      <c r="B16" s="1">
        <v>500</v>
      </c>
      <c r="D16" s="1">
        <f t="shared" si="0"/>
        <v>375</v>
      </c>
      <c r="F16" s="1">
        <v>0</v>
      </c>
      <c r="H16" s="1">
        <v>1000</v>
      </c>
      <c r="J16" s="1">
        <f t="shared" si="1"/>
        <v>1000</v>
      </c>
      <c r="L16" s="1">
        <f t="shared" si="2"/>
        <v>1000</v>
      </c>
      <c r="N16" s="9"/>
      <c r="O16" s="1">
        <v>300</v>
      </c>
      <c r="Q16" s="1">
        <v>3000</v>
      </c>
      <c r="S16" s="43">
        <v>0</v>
      </c>
      <c r="T16" s="61">
        <f t="shared" si="3"/>
        <v>0</v>
      </c>
      <c r="U16" s="41">
        <v>3000</v>
      </c>
    </row>
    <row r="17" spans="1:27" ht="14.2" customHeight="1" x14ac:dyDescent="0.45">
      <c r="A17" s="3" t="s">
        <v>5</v>
      </c>
      <c r="B17" s="1">
        <v>500</v>
      </c>
      <c r="D17" s="1">
        <f t="shared" si="0"/>
        <v>375</v>
      </c>
      <c r="F17" s="1">
        <v>5</v>
      </c>
      <c r="H17" s="1">
        <v>0</v>
      </c>
      <c r="J17" s="1">
        <f t="shared" si="1"/>
        <v>0</v>
      </c>
      <c r="L17" s="1">
        <f t="shared" si="2"/>
        <v>0</v>
      </c>
      <c r="N17" s="9"/>
      <c r="O17" s="1">
        <v>248</v>
      </c>
      <c r="S17" s="43">
        <v>171</v>
      </c>
      <c r="U17" s="41"/>
    </row>
    <row r="18" spans="1:27" ht="14.2" customHeight="1" x14ac:dyDescent="0.5">
      <c r="A18" s="3" t="s">
        <v>6</v>
      </c>
      <c r="B18" s="1">
        <v>12000</v>
      </c>
      <c r="D18" s="1">
        <f t="shared" si="0"/>
        <v>9000</v>
      </c>
      <c r="F18" s="1">
        <v>4122</v>
      </c>
      <c r="G18" s="8"/>
      <c r="H18" s="1">
        <v>12000</v>
      </c>
      <c r="I18" s="8"/>
      <c r="J18" s="1">
        <f t="shared" si="1"/>
        <v>12000</v>
      </c>
      <c r="K18" s="8"/>
      <c r="L18" s="1">
        <f t="shared" si="2"/>
        <v>12000</v>
      </c>
      <c r="M18" s="8"/>
      <c r="N18" s="9"/>
      <c r="O18" s="1">
        <v>20968</v>
      </c>
      <c r="Q18" s="1">
        <v>20000</v>
      </c>
      <c r="S18" s="43">
        <v>12741</v>
      </c>
      <c r="T18" s="61">
        <f t="shared" si="3"/>
        <v>0.63705000000000001</v>
      </c>
      <c r="U18" s="41">
        <v>17700</v>
      </c>
      <c r="V18" s="3" t="s">
        <v>151</v>
      </c>
    </row>
    <row r="19" spans="1:27" ht="14.2" customHeight="1" x14ac:dyDescent="0.45">
      <c r="A19" s="3" t="s">
        <v>117</v>
      </c>
      <c r="B19" s="1">
        <v>7658</v>
      </c>
      <c r="D19" s="1">
        <f t="shared" si="0"/>
        <v>5743.5</v>
      </c>
      <c r="F19" s="1">
        <v>6371</v>
      </c>
      <c r="H19" s="1">
        <v>7658</v>
      </c>
      <c r="J19" s="1">
        <f t="shared" si="1"/>
        <v>7658</v>
      </c>
      <c r="L19" s="1">
        <f>7658+4267</f>
        <v>11925</v>
      </c>
      <c r="N19" s="9" t="s">
        <v>85</v>
      </c>
      <c r="O19" s="1">
        <f>7459+2557</f>
        <v>10016</v>
      </c>
      <c r="Q19" s="1">
        <f>7658+4267</f>
        <v>11925</v>
      </c>
      <c r="S19" s="43">
        <v>5452</v>
      </c>
      <c r="T19" s="61">
        <f t="shared" si="3"/>
        <v>0.4571907756813417</v>
      </c>
      <c r="U19" s="41">
        <v>11925</v>
      </c>
      <c r="V19" s="3" t="s">
        <v>150</v>
      </c>
    </row>
    <row r="20" spans="1:27" ht="14.2" customHeight="1" x14ac:dyDescent="0.5">
      <c r="A20" s="3" t="s">
        <v>7</v>
      </c>
      <c r="B20" s="1">
        <v>115000</v>
      </c>
      <c r="D20" s="1">
        <f t="shared" si="0"/>
        <v>86250</v>
      </c>
      <c r="F20" s="1">
        <v>95248</v>
      </c>
      <c r="G20" s="8"/>
      <c r="H20" s="1">
        <v>120850</v>
      </c>
      <c r="I20" s="8"/>
      <c r="J20" s="1">
        <v>125000</v>
      </c>
      <c r="K20" s="8" t="s">
        <v>86</v>
      </c>
      <c r="L20" s="1">
        <v>128721</v>
      </c>
      <c r="M20" s="8"/>
      <c r="N20" s="9"/>
      <c r="O20" s="1">
        <v>107919</v>
      </c>
      <c r="Q20" s="1">
        <v>140231</v>
      </c>
      <c r="S20" s="43">
        <v>119583</v>
      </c>
      <c r="T20" s="66">
        <f t="shared" si="3"/>
        <v>0.85275723627443289</v>
      </c>
      <c r="U20" s="83">
        <f>157516.88+2500</f>
        <v>160016.88</v>
      </c>
      <c r="V20" s="3" t="s">
        <v>162</v>
      </c>
      <c r="W20" s="41">
        <v>156079</v>
      </c>
      <c r="X20" s="3" t="s">
        <v>163</v>
      </c>
      <c r="Y20" s="58">
        <f>W20-U20</f>
        <v>-3937.8800000000047</v>
      </c>
    </row>
    <row r="21" spans="1:27" ht="14.2" customHeight="1" x14ac:dyDescent="0.5">
      <c r="A21" s="3" t="s">
        <v>137</v>
      </c>
      <c r="G21" s="51"/>
      <c r="I21" s="51"/>
      <c r="K21" s="51"/>
      <c r="M21" s="51"/>
      <c r="N21" s="9"/>
      <c r="Q21" s="1">
        <v>2490</v>
      </c>
      <c r="S21" s="43">
        <v>2723</v>
      </c>
      <c r="T21" s="66">
        <f t="shared" si="3"/>
        <v>1.093574297188755</v>
      </c>
      <c r="U21" s="41">
        <v>3000</v>
      </c>
      <c r="V21" s="74" t="s">
        <v>152</v>
      </c>
      <c r="W21" s="58"/>
      <c r="X21" s="57"/>
      <c r="AA21" s="35"/>
    </row>
    <row r="22" spans="1:27" ht="14.2" customHeight="1" x14ac:dyDescent="0.45">
      <c r="A22" s="3" t="s">
        <v>116</v>
      </c>
      <c r="B22" s="1">
        <v>8820</v>
      </c>
      <c r="D22" s="1">
        <f t="shared" si="0"/>
        <v>6615</v>
      </c>
      <c r="F22" s="1">
        <v>6615</v>
      </c>
      <c r="H22" s="1">
        <v>8820</v>
      </c>
      <c r="J22" s="1">
        <f>H22</f>
        <v>8820</v>
      </c>
      <c r="L22" s="1">
        <f>H22</f>
        <v>8820</v>
      </c>
      <c r="N22" s="9" t="s">
        <v>73</v>
      </c>
      <c r="O22" s="1">
        <v>6615</v>
      </c>
      <c r="Q22" s="1">
        <v>8820</v>
      </c>
      <c r="S22" s="43">
        <v>4410</v>
      </c>
      <c r="T22" s="61">
        <f t="shared" si="3"/>
        <v>0.5</v>
      </c>
      <c r="U22" s="41">
        <v>8820</v>
      </c>
    </row>
    <row r="23" spans="1:27" ht="14.2" customHeight="1" x14ac:dyDescent="0.45">
      <c r="A23" s="3" t="s">
        <v>8</v>
      </c>
      <c r="B23" s="1">
        <v>23328</v>
      </c>
      <c r="D23" s="1">
        <f t="shared" si="0"/>
        <v>17496</v>
      </c>
      <c r="F23" s="1">
        <v>4395</v>
      </c>
      <c r="H23" s="1">
        <v>8000</v>
      </c>
      <c r="J23" s="1">
        <f>H23</f>
        <v>8000</v>
      </c>
      <c r="L23" s="1">
        <f>H23</f>
        <v>8000</v>
      </c>
      <c r="N23" s="9" t="s">
        <v>74</v>
      </c>
      <c r="O23" s="1">
        <v>7800</v>
      </c>
      <c r="Q23" s="1">
        <v>8000</v>
      </c>
      <c r="S23" s="43">
        <v>8457</v>
      </c>
      <c r="T23" s="66">
        <f t="shared" si="3"/>
        <v>1.0571250000000001</v>
      </c>
      <c r="U23" s="41">
        <v>8000</v>
      </c>
    </row>
    <row r="24" spans="1:27" ht="14.2" customHeight="1" thickBot="1" x14ac:dyDescent="0.5">
      <c r="A24" s="3" t="s">
        <v>9</v>
      </c>
      <c r="B24" s="10">
        <v>14820</v>
      </c>
      <c r="D24" s="10">
        <f t="shared" si="0"/>
        <v>11115</v>
      </c>
      <c r="F24" s="10">
        <v>11170</v>
      </c>
      <c r="H24" s="10">
        <v>14820</v>
      </c>
      <c r="J24" s="10">
        <f>H24</f>
        <v>14820</v>
      </c>
      <c r="L24" s="10">
        <f>H24</f>
        <v>14820</v>
      </c>
      <c r="N24" s="9"/>
      <c r="O24" s="10">
        <v>13170</v>
      </c>
      <c r="P24"/>
      <c r="Q24" s="10">
        <v>14820</v>
      </c>
      <c r="S24" s="43">
        <v>10330</v>
      </c>
      <c r="T24" s="61">
        <f t="shared" si="3"/>
        <v>0.69703103913630227</v>
      </c>
      <c r="U24" s="41">
        <v>14820</v>
      </c>
    </row>
    <row r="25" spans="1:27" ht="14.2" customHeight="1" thickTop="1" x14ac:dyDescent="0.45">
      <c r="A25" s="5" t="s">
        <v>10</v>
      </c>
      <c r="B25" s="11">
        <f>SUM(B7:B24)</f>
        <v>215626</v>
      </c>
      <c r="D25" s="11">
        <f>SUM(D7:D24)</f>
        <v>161719.5</v>
      </c>
      <c r="F25" s="11">
        <f>SUM(F7:F24)</f>
        <v>143134</v>
      </c>
      <c r="H25" s="11">
        <f>SUM(H7:H24)</f>
        <v>188177</v>
      </c>
      <c r="J25" s="11">
        <f>SUM(J7:J24)</f>
        <v>198061</v>
      </c>
      <c r="L25" s="11">
        <f>SUM(L7:L24)</f>
        <v>213328</v>
      </c>
      <c r="N25" s="9"/>
      <c r="O25" s="11">
        <f>SUM(O7:O24)</f>
        <v>197465</v>
      </c>
      <c r="Q25" s="11">
        <f>SUM(Q7:Q24)</f>
        <v>232516</v>
      </c>
      <c r="S25" s="44">
        <f>SUM(S7:S24)</f>
        <v>188045</v>
      </c>
      <c r="T25" s="66">
        <f t="shared" si="3"/>
        <v>0.80874004369591768</v>
      </c>
      <c r="U25" s="85">
        <f>SUM(U7:U24)</f>
        <v>250511.88</v>
      </c>
    </row>
    <row r="26" spans="1:27" ht="14.2" customHeight="1" x14ac:dyDescent="0.45">
      <c r="A26" s="53" t="s">
        <v>136</v>
      </c>
      <c r="B26" s="54"/>
      <c r="C26" s="54"/>
      <c r="D26" s="54"/>
      <c r="E26" s="54"/>
      <c r="F26" s="54"/>
      <c r="G26" s="55"/>
      <c r="H26" s="54"/>
      <c r="I26" s="55"/>
      <c r="J26" s="54"/>
      <c r="K26" s="55"/>
      <c r="L26" s="54"/>
      <c r="M26" s="55"/>
      <c r="N26" s="56"/>
      <c r="O26" s="54"/>
      <c r="P26" s="54"/>
      <c r="Q26" s="54"/>
      <c r="R26" s="54"/>
      <c r="S26" s="54"/>
      <c r="T26" s="62"/>
      <c r="U26" s="36">
        <f>U25-Q25</f>
        <v>17995.880000000005</v>
      </c>
    </row>
    <row r="27" spans="1:27" ht="14.2" customHeight="1" x14ac:dyDescent="0.45">
      <c r="B27" s="11"/>
      <c r="F27" s="11"/>
      <c r="H27" s="11"/>
      <c r="J27" s="11"/>
      <c r="L27" s="11"/>
      <c r="N27" s="9"/>
    </row>
    <row r="28" spans="1:27" ht="14.2" customHeight="1" x14ac:dyDescent="0.4">
      <c r="B28" s="4" t="s">
        <v>49</v>
      </c>
      <c r="C28" s="4"/>
      <c r="D28" s="4" t="s">
        <v>59</v>
      </c>
      <c r="E28" s="4"/>
      <c r="F28" s="4" t="s">
        <v>57</v>
      </c>
      <c r="G28" s="4"/>
      <c r="H28" s="13" t="s">
        <v>71</v>
      </c>
      <c r="I28" s="4"/>
      <c r="J28" s="4" t="s">
        <v>78</v>
      </c>
      <c r="L28" s="4" t="s">
        <v>49</v>
      </c>
      <c r="O28" s="4" t="s">
        <v>112</v>
      </c>
      <c r="Q28" s="11" t="s">
        <v>89</v>
      </c>
      <c r="S28" s="37" t="s">
        <v>112</v>
      </c>
      <c r="U28" s="36" t="s">
        <v>89</v>
      </c>
    </row>
    <row r="29" spans="1:27" ht="14.2" customHeight="1" thickBot="1" x14ac:dyDescent="0.45">
      <c r="A29" s="14" t="s">
        <v>11</v>
      </c>
      <c r="B29" s="6" t="s">
        <v>1</v>
      </c>
      <c r="D29" s="7" t="s">
        <v>1</v>
      </c>
      <c r="F29" s="7" t="s">
        <v>1</v>
      </c>
      <c r="H29" s="7" t="s">
        <v>58</v>
      </c>
      <c r="J29" s="7" t="s">
        <v>58</v>
      </c>
      <c r="L29" s="7" t="s">
        <v>58</v>
      </c>
      <c r="N29" s="6" t="s">
        <v>43</v>
      </c>
      <c r="O29" s="6" t="s">
        <v>114</v>
      </c>
      <c r="P29" s="11"/>
      <c r="Q29" s="23" t="s">
        <v>90</v>
      </c>
      <c r="S29" s="37" t="s">
        <v>140</v>
      </c>
      <c r="U29" s="36" t="s">
        <v>125</v>
      </c>
    </row>
    <row r="30" spans="1:27" ht="14.2" customHeight="1" x14ac:dyDescent="0.5">
      <c r="A30" s="3" t="s">
        <v>12</v>
      </c>
      <c r="B30" s="1">
        <v>500</v>
      </c>
      <c r="D30" s="1">
        <f>B30*0.75</f>
        <v>375</v>
      </c>
      <c r="F30" s="1">
        <v>0</v>
      </c>
      <c r="G30" s="8"/>
      <c r="H30" s="1">
        <v>2500</v>
      </c>
      <c r="I30" s="8"/>
      <c r="J30" s="1">
        <v>2000</v>
      </c>
      <c r="K30" s="8"/>
      <c r="L30" s="1">
        <v>2000</v>
      </c>
      <c r="M30" s="8"/>
      <c r="N30" s="9" t="s">
        <v>60</v>
      </c>
      <c r="S30" s="1">
        <v>0</v>
      </c>
      <c r="U30" s="41"/>
    </row>
    <row r="31" spans="1:27" ht="14.2" customHeight="1" x14ac:dyDescent="0.45">
      <c r="A31" s="3" t="s">
        <v>13</v>
      </c>
      <c r="B31" s="1">
        <v>500</v>
      </c>
      <c r="D31" s="1">
        <f t="shared" ref="D31:D69" si="4">B31*0.75</f>
        <v>375</v>
      </c>
      <c r="F31" s="1">
        <v>0</v>
      </c>
      <c r="H31" s="1">
        <v>0</v>
      </c>
      <c r="J31" s="1">
        <f t="shared" ref="J31:J44" si="5">H31</f>
        <v>0</v>
      </c>
      <c r="L31" s="1">
        <f t="shared" ref="L31:L44" si="6">H31</f>
        <v>0</v>
      </c>
      <c r="N31" s="9"/>
      <c r="O31" s="1">
        <v>392</v>
      </c>
      <c r="S31" s="1">
        <v>138</v>
      </c>
      <c r="U31" s="41"/>
    </row>
    <row r="32" spans="1:27" ht="14.2" customHeight="1" x14ac:dyDescent="0.45">
      <c r="A32" s="3" t="s">
        <v>14</v>
      </c>
      <c r="B32" s="1">
        <v>1000</v>
      </c>
      <c r="D32" s="1">
        <f t="shared" si="4"/>
        <v>750</v>
      </c>
      <c r="F32" s="1">
        <v>0</v>
      </c>
      <c r="H32" s="1">
        <v>1000</v>
      </c>
      <c r="J32" s="1">
        <f t="shared" si="5"/>
        <v>1000</v>
      </c>
      <c r="L32" s="1">
        <f t="shared" si="6"/>
        <v>1000</v>
      </c>
      <c r="N32" s="9"/>
      <c r="Q32" s="1">
        <v>5000</v>
      </c>
      <c r="S32" s="1">
        <v>1440</v>
      </c>
      <c r="T32" s="61">
        <f>S32/Q32</f>
        <v>0.28799999999999998</v>
      </c>
      <c r="U32" s="41">
        <v>5000</v>
      </c>
    </row>
    <row r="33" spans="1:25" ht="14.2" customHeight="1" x14ac:dyDescent="0.45">
      <c r="A33" s="3" t="s">
        <v>128</v>
      </c>
      <c r="N33" s="9"/>
      <c r="S33" s="1">
        <v>300</v>
      </c>
      <c r="U33" s="41">
        <v>300</v>
      </c>
      <c r="V33" s="3" t="s">
        <v>153</v>
      </c>
    </row>
    <row r="34" spans="1:25" ht="14.2" customHeight="1" x14ac:dyDescent="0.45">
      <c r="A34" s="3" t="s">
        <v>126</v>
      </c>
      <c r="N34" s="9"/>
      <c r="S34" s="1">
        <v>200</v>
      </c>
      <c r="U34" s="41">
        <f>200+(43*20)</f>
        <v>1060</v>
      </c>
      <c r="V34" s="3" t="s">
        <v>178</v>
      </c>
    </row>
    <row r="35" spans="1:25" ht="14.2" customHeight="1" x14ac:dyDescent="0.45">
      <c r="A35" s="3" t="s">
        <v>15</v>
      </c>
      <c r="B35" s="1">
        <v>500</v>
      </c>
      <c r="D35" s="1">
        <f t="shared" si="4"/>
        <v>375</v>
      </c>
      <c r="F35" s="1">
        <v>732</v>
      </c>
      <c r="H35" s="1">
        <v>750</v>
      </c>
      <c r="J35" s="1">
        <f t="shared" si="5"/>
        <v>750</v>
      </c>
      <c r="L35" s="1">
        <f t="shared" si="6"/>
        <v>750</v>
      </c>
      <c r="N35" s="9"/>
      <c r="O35" s="1">
        <v>2631</v>
      </c>
      <c r="Q35" s="1">
        <v>300</v>
      </c>
      <c r="S35" s="1">
        <v>819</v>
      </c>
      <c r="T35" s="68">
        <f>S35/Q35</f>
        <v>2.73</v>
      </c>
      <c r="U35" s="80">
        <v>800</v>
      </c>
      <c r="V35" s="3" t="s">
        <v>164</v>
      </c>
    </row>
    <row r="36" spans="1:25" ht="14.2" customHeight="1" x14ac:dyDescent="0.45">
      <c r="A36" s="3" t="s">
        <v>131</v>
      </c>
      <c r="N36" s="9"/>
      <c r="U36" s="41">
        <v>100</v>
      </c>
      <c r="V36" s="3" t="s">
        <v>154</v>
      </c>
    </row>
    <row r="37" spans="1:25" ht="14.2" customHeight="1" x14ac:dyDescent="0.45">
      <c r="A37" s="3" t="s">
        <v>180</v>
      </c>
      <c r="N37" s="9"/>
      <c r="U37" s="81">
        <v>500</v>
      </c>
      <c r="V37" s="3" t="s">
        <v>181</v>
      </c>
    </row>
    <row r="38" spans="1:25" ht="14.2" customHeight="1" x14ac:dyDescent="0.45">
      <c r="A38" s="3" t="s">
        <v>66</v>
      </c>
      <c r="B38" s="1">
        <v>0</v>
      </c>
      <c r="D38" s="1">
        <f t="shared" si="4"/>
        <v>0</v>
      </c>
      <c r="F38" s="1">
        <v>0</v>
      </c>
      <c r="H38" s="1">
        <v>500</v>
      </c>
      <c r="J38" s="1">
        <f t="shared" si="5"/>
        <v>500</v>
      </c>
      <c r="L38" s="1">
        <f t="shared" si="6"/>
        <v>500</v>
      </c>
      <c r="N38" s="9"/>
      <c r="O38" s="1">
        <v>30</v>
      </c>
      <c r="S38" s="1">
        <v>0</v>
      </c>
      <c r="U38" s="41">
        <v>400</v>
      </c>
      <c r="V38" s="3" t="s">
        <v>165</v>
      </c>
    </row>
    <row r="39" spans="1:25" ht="14.2" customHeight="1" x14ac:dyDescent="0.5">
      <c r="A39" s="3" t="s">
        <v>16</v>
      </c>
      <c r="B39" s="1">
        <v>100</v>
      </c>
      <c r="D39" s="1">
        <f t="shared" si="4"/>
        <v>75</v>
      </c>
      <c r="F39" s="1">
        <v>0</v>
      </c>
      <c r="G39" s="8"/>
      <c r="H39" s="1">
        <v>50</v>
      </c>
      <c r="I39" s="8"/>
      <c r="J39" s="1">
        <f t="shared" si="5"/>
        <v>50</v>
      </c>
      <c r="K39" s="8"/>
      <c r="L39" s="1">
        <f t="shared" si="6"/>
        <v>50</v>
      </c>
      <c r="M39" s="8"/>
      <c r="N39" s="9"/>
      <c r="Q39" s="1">
        <v>50</v>
      </c>
      <c r="U39" s="41">
        <v>50</v>
      </c>
    </row>
    <row r="40" spans="1:25" ht="14.2" customHeight="1" x14ac:dyDescent="0.45">
      <c r="A40" s="3" t="s">
        <v>17</v>
      </c>
      <c r="B40" s="1">
        <v>600</v>
      </c>
      <c r="D40" s="1">
        <f t="shared" si="4"/>
        <v>450</v>
      </c>
      <c r="F40" s="1">
        <v>110</v>
      </c>
      <c r="H40" s="1">
        <v>600</v>
      </c>
      <c r="J40" s="1">
        <f t="shared" si="5"/>
        <v>600</v>
      </c>
      <c r="L40" s="1">
        <f t="shared" si="6"/>
        <v>600</v>
      </c>
      <c r="N40" s="9"/>
      <c r="O40" s="1">
        <v>431</v>
      </c>
      <c r="Q40" s="1">
        <v>1000</v>
      </c>
      <c r="S40" s="1">
        <v>293</v>
      </c>
      <c r="T40" s="61">
        <f t="shared" ref="T40:T59" si="7">S40/Q40</f>
        <v>0.29299999999999998</v>
      </c>
      <c r="U40" s="41">
        <v>1000</v>
      </c>
    </row>
    <row r="41" spans="1:25" ht="14.2" customHeight="1" x14ac:dyDescent="0.45">
      <c r="A41" s="3" t="s">
        <v>96</v>
      </c>
      <c r="N41" s="9"/>
      <c r="Q41" s="1">
        <v>400</v>
      </c>
      <c r="S41" s="1">
        <v>272</v>
      </c>
      <c r="T41" s="61">
        <f t="shared" si="7"/>
        <v>0.68</v>
      </c>
      <c r="U41" s="41">
        <v>400</v>
      </c>
    </row>
    <row r="42" spans="1:25" ht="14.2" customHeight="1" x14ac:dyDescent="0.5">
      <c r="A42" s="3" t="s">
        <v>18</v>
      </c>
      <c r="B42" s="1">
        <v>875</v>
      </c>
      <c r="D42" s="1">
        <f t="shared" si="4"/>
        <v>656.25</v>
      </c>
      <c r="F42" s="1">
        <v>777</v>
      </c>
      <c r="G42" s="8"/>
      <c r="H42" s="1">
        <v>900</v>
      </c>
      <c r="I42" s="8"/>
      <c r="J42" s="1">
        <f t="shared" si="5"/>
        <v>900</v>
      </c>
      <c r="K42" s="8"/>
      <c r="L42" s="1">
        <f t="shared" si="6"/>
        <v>900</v>
      </c>
      <c r="M42" s="8"/>
      <c r="N42" s="9"/>
      <c r="O42" s="1">
        <v>1235</v>
      </c>
      <c r="Q42" s="1">
        <v>1220</v>
      </c>
      <c r="S42" s="1">
        <v>688</v>
      </c>
      <c r="T42" s="61">
        <f t="shared" si="7"/>
        <v>0.56393442622950818</v>
      </c>
      <c r="U42" s="41">
        <v>1220</v>
      </c>
    </row>
    <row r="43" spans="1:25" ht="14.2" customHeight="1" x14ac:dyDescent="0.45">
      <c r="A43" s="3" t="s">
        <v>120</v>
      </c>
      <c r="B43" s="1">
        <v>375</v>
      </c>
      <c r="D43" s="1">
        <f t="shared" si="4"/>
        <v>281.25</v>
      </c>
      <c r="F43" s="1">
        <v>345</v>
      </c>
      <c r="H43" s="1">
        <v>375</v>
      </c>
      <c r="J43" s="1">
        <f t="shared" si="5"/>
        <v>375</v>
      </c>
      <c r="L43" s="1">
        <f t="shared" si="6"/>
        <v>375</v>
      </c>
      <c r="N43" s="9"/>
      <c r="Q43" s="1">
        <v>2000</v>
      </c>
      <c r="S43" s="1">
        <v>0</v>
      </c>
      <c r="T43" s="61">
        <f t="shared" si="7"/>
        <v>0</v>
      </c>
      <c r="U43" s="41">
        <v>2000</v>
      </c>
    </row>
    <row r="44" spans="1:25" ht="14.2" customHeight="1" x14ac:dyDescent="0.45">
      <c r="A44" s="3" t="s">
        <v>19</v>
      </c>
      <c r="B44" s="1">
        <v>100</v>
      </c>
      <c r="D44" s="1">
        <f t="shared" si="4"/>
        <v>75</v>
      </c>
      <c r="F44" s="1">
        <v>0</v>
      </c>
      <c r="H44" s="1">
        <v>100</v>
      </c>
      <c r="J44" s="1">
        <f t="shared" si="5"/>
        <v>100</v>
      </c>
      <c r="L44" s="1">
        <f t="shared" si="6"/>
        <v>100</v>
      </c>
      <c r="N44" s="9"/>
      <c r="Q44" s="1">
        <v>660</v>
      </c>
      <c r="S44" s="1">
        <v>532</v>
      </c>
      <c r="T44" s="68">
        <f t="shared" si="7"/>
        <v>0.80606060606060603</v>
      </c>
      <c r="U44" s="80">
        <v>810</v>
      </c>
      <c r="V44" s="3" t="s">
        <v>179</v>
      </c>
      <c r="W44" s="35"/>
    </row>
    <row r="45" spans="1:25" ht="14.2" customHeight="1" x14ac:dyDescent="0.45">
      <c r="A45" s="3" t="s">
        <v>138</v>
      </c>
      <c r="L45" s="1">
        <v>11000</v>
      </c>
      <c r="N45" s="9"/>
      <c r="O45" s="1">
        <v>3000</v>
      </c>
      <c r="Q45" s="1">
        <v>10000</v>
      </c>
      <c r="S45" s="1">
        <v>2500</v>
      </c>
      <c r="T45" s="61">
        <f t="shared" si="7"/>
        <v>0.25</v>
      </c>
      <c r="U45" s="41">
        <v>10000</v>
      </c>
      <c r="V45" s="35"/>
    </row>
    <row r="46" spans="1:25" ht="14.2" customHeight="1" x14ac:dyDescent="0.45">
      <c r="A46" s="3" t="s">
        <v>70</v>
      </c>
      <c r="B46" s="1">
        <v>0</v>
      </c>
      <c r="D46" s="1">
        <v>0</v>
      </c>
      <c r="F46" s="1">
        <v>0</v>
      </c>
      <c r="H46" s="1">
        <v>0</v>
      </c>
      <c r="J46" s="1">
        <v>150</v>
      </c>
      <c r="L46" s="1">
        <v>150</v>
      </c>
      <c r="N46" s="9"/>
      <c r="O46" s="1">
        <v>60</v>
      </c>
      <c r="Q46" s="1">
        <v>200</v>
      </c>
      <c r="S46" s="1">
        <v>30</v>
      </c>
      <c r="T46" s="61">
        <f t="shared" si="7"/>
        <v>0.15</v>
      </c>
      <c r="U46" s="41">
        <v>200</v>
      </c>
    </row>
    <row r="47" spans="1:25" ht="14.2" customHeight="1" x14ac:dyDescent="0.45">
      <c r="A47" s="3" t="s">
        <v>20</v>
      </c>
      <c r="B47" s="1">
        <v>200</v>
      </c>
      <c r="D47" s="1">
        <f t="shared" si="4"/>
        <v>150</v>
      </c>
      <c r="F47" s="1">
        <v>0</v>
      </c>
      <c r="H47" s="1">
        <v>200</v>
      </c>
      <c r="J47" s="1">
        <f t="shared" ref="J47:J57" si="8">H47</f>
        <v>200</v>
      </c>
      <c r="L47" s="1">
        <f t="shared" ref="L47:L58" si="9">H47</f>
        <v>200</v>
      </c>
      <c r="N47" s="9"/>
      <c r="O47" s="1">
        <v>65</v>
      </c>
      <c r="Q47" s="1">
        <v>100</v>
      </c>
      <c r="S47" s="1">
        <v>27</v>
      </c>
      <c r="T47" s="61">
        <f t="shared" si="7"/>
        <v>0.27</v>
      </c>
      <c r="U47" s="41">
        <v>100</v>
      </c>
      <c r="V47" s="35"/>
    </row>
    <row r="48" spans="1:25" ht="14.2" customHeight="1" x14ac:dyDescent="0.45">
      <c r="A48" s="3" t="s">
        <v>21</v>
      </c>
      <c r="B48" s="1">
        <v>1500</v>
      </c>
      <c r="D48" s="1">
        <f t="shared" si="4"/>
        <v>1125</v>
      </c>
      <c r="F48" s="1">
        <v>1023</v>
      </c>
      <c r="H48" s="1">
        <v>2400</v>
      </c>
      <c r="J48" s="1">
        <f t="shared" si="8"/>
        <v>2400</v>
      </c>
      <c r="L48" s="1">
        <f t="shared" si="9"/>
        <v>2400</v>
      </c>
      <c r="N48" s="9" t="s">
        <v>56</v>
      </c>
      <c r="O48" s="1">
        <v>2228</v>
      </c>
      <c r="Q48" s="1">
        <v>2000</v>
      </c>
      <c r="S48" s="1">
        <f>1131+144</f>
        <v>1275</v>
      </c>
      <c r="T48" s="61">
        <f t="shared" si="7"/>
        <v>0.63749999999999996</v>
      </c>
      <c r="U48" s="41">
        <v>2835</v>
      </c>
      <c r="V48" s="3" t="s">
        <v>174</v>
      </c>
      <c r="Y48" s="35"/>
    </row>
    <row r="49" spans="1:26" ht="14.2" customHeight="1" x14ac:dyDescent="0.45">
      <c r="A49" s="3" t="s">
        <v>121</v>
      </c>
      <c r="B49" s="1">
        <v>600</v>
      </c>
      <c r="D49" s="1">
        <f t="shared" si="4"/>
        <v>450</v>
      </c>
      <c r="F49" s="1">
        <v>0</v>
      </c>
      <c r="H49" s="1">
        <v>400</v>
      </c>
      <c r="J49" s="1">
        <f t="shared" si="8"/>
        <v>400</v>
      </c>
      <c r="L49" s="1">
        <f t="shared" si="9"/>
        <v>400</v>
      </c>
      <c r="N49" s="9" t="s">
        <v>46</v>
      </c>
      <c r="O49" s="1">
        <v>405</v>
      </c>
      <c r="Q49" s="1">
        <v>2496</v>
      </c>
      <c r="S49" s="1">
        <v>0</v>
      </c>
      <c r="T49" s="61">
        <f t="shared" si="7"/>
        <v>0</v>
      </c>
      <c r="U49" s="41">
        <v>2200</v>
      </c>
      <c r="V49" s="3" t="s">
        <v>155</v>
      </c>
      <c r="Z49" s="35"/>
    </row>
    <row r="50" spans="1:26" ht="14.2" customHeight="1" x14ac:dyDescent="0.45">
      <c r="A50" s="3" t="s">
        <v>123</v>
      </c>
      <c r="B50" s="1">
        <v>600</v>
      </c>
      <c r="D50" s="1">
        <f t="shared" si="4"/>
        <v>450</v>
      </c>
      <c r="F50" s="1">
        <v>43</v>
      </c>
      <c r="H50" s="1">
        <v>0</v>
      </c>
      <c r="J50" s="1">
        <f t="shared" si="8"/>
        <v>0</v>
      </c>
      <c r="L50" s="1">
        <f t="shared" si="9"/>
        <v>0</v>
      </c>
      <c r="N50" s="9" t="s">
        <v>46</v>
      </c>
      <c r="S50" s="1">
        <v>0</v>
      </c>
      <c r="U50" s="41">
        <v>0</v>
      </c>
    </row>
    <row r="51" spans="1:26" ht="14.2" customHeight="1" x14ac:dyDescent="0.45">
      <c r="A51" s="3" t="s">
        <v>122</v>
      </c>
      <c r="B51" s="1">
        <v>250</v>
      </c>
      <c r="D51" s="1">
        <f t="shared" si="4"/>
        <v>187.5</v>
      </c>
      <c r="F51" s="1">
        <v>0</v>
      </c>
      <c r="H51" s="1">
        <v>250</v>
      </c>
      <c r="J51" s="1">
        <f t="shared" si="8"/>
        <v>250</v>
      </c>
      <c r="L51" s="1">
        <f t="shared" si="9"/>
        <v>250</v>
      </c>
      <c r="N51" s="9" t="s">
        <v>46</v>
      </c>
      <c r="O51" s="1">
        <v>121</v>
      </c>
      <c r="Q51" s="1">
        <v>500</v>
      </c>
      <c r="S51" s="1">
        <v>0</v>
      </c>
      <c r="T51" s="61">
        <f t="shared" si="7"/>
        <v>0</v>
      </c>
      <c r="U51" s="41">
        <v>500</v>
      </c>
    </row>
    <row r="52" spans="1:26" ht="14.2" customHeight="1" x14ac:dyDescent="0.5">
      <c r="A52" s="3" t="s">
        <v>63</v>
      </c>
      <c r="B52" s="1">
        <v>70969</v>
      </c>
      <c r="D52" s="1">
        <f t="shared" si="4"/>
        <v>53226.75</v>
      </c>
      <c r="F52" s="1">
        <v>40581</v>
      </c>
      <c r="G52" s="8"/>
      <c r="H52" s="1">
        <f>(B52-18000)*1.05</f>
        <v>55617.450000000004</v>
      </c>
      <c r="I52" s="8"/>
      <c r="J52" s="1">
        <f t="shared" si="8"/>
        <v>55617.450000000004</v>
      </c>
      <c r="K52" s="8"/>
      <c r="L52" s="1">
        <f t="shared" si="9"/>
        <v>55617.450000000004</v>
      </c>
      <c r="M52" s="8"/>
      <c r="N52" s="12" t="s">
        <v>77</v>
      </c>
      <c r="O52" s="1">
        <v>44586</v>
      </c>
      <c r="Q52" s="1">
        <f>Salaries!N12</f>
        <v>62416</v>
      </c>
      <c r="R52" s="19"/>
      <c r="S52" s="19">
        <v>23947</v>
      </c>
      <c r="T52" s="61">
        <f t="shared" si="7"/>
        <v>0.38366764932068698</v>
      </c>
      <c r="U52" s="65">
        <f>Salaries!N8</f>
        <v>63952.639999999999</v>
      </c>
      <c r="V52" s="3" t="s">
        <v>156</v>
      </c>
      <c r="X52" s="73"/>
    </row>
    <row r="53" spans="1:26" ht="14.2" customHeight="1" x14ac:dyDescent="0.5">
      <c r="A53" s="3" t="s">
        <v>22</v>
      </c>
      <c r="B53" s="1">
        <v>5429</v>
      </c>
      <c r="D53" s="1">
        <f t="shared" si="4"/>
        <v>4071.75</v>
      </c>
      <c r="F53" s="1">
        <v>3670</v>
      </c>
      <c r="G53" s="8"/>
      <c r="H53" s="1">
        <f>B53*0.78</f>
        <v>4234.62</v>
      </c>
      <c r="I53" s="8"/>
      <c r="J53" s="1">
        <f t="shared" si="8"/>
        <v>4234.62</v>
      </c>
      <c r="K53" s="8"/>
      <c r="L53" s="1">
        <f t="shared" si="9"/>
        <v>4234.62</v>
      </c>
      <c r="M53" s="8"/>
      <c r="N53" s="9" t="s">
        <v>47</v>
      </c>
      <c r="O53" s="1">
        <v>3589</v>
      </c>
      <c r="Q53" s="1">
        <f>Salaries!N13</f>
        <v>4774.8239999999996</v>
      </c>
      <c r="R53" s="19"/>
      <c r="S53" s="19">
        <v>2509</v>
      </c>
      <c r="T53" s="61">
        <f t="shared" si="7"/>
        <v>0.52546439408028445</v>
      </c>
      <c r="U53" s="65">
        <f>Salaries!N9</f>
        <v>4892.3769599999996</v>
      </c>
      <c r="V53" s="75" t="s">
        <v>157</v>
      </c>
      <c r="W53" s="18"/>
    </row>
    <row r="54" spans="1:26" ht="14.2" customHeight="1" x14ac:dyDescent="0.5">
      <c r="A54" s="3" t="s">
        <v>23</v>
      </c>
      <c r="B54" s="1">
        <v>4000</v>
      </c>
      <c r="D54" s="1">
        <f t="shared" si="4"/>
        <v>3000</v>
      </c>
      <c r="F54" s="1">
        <v>1917</v>
      </c>
      <c r="G54" s="8"/>
      <c r="H54" s="1">
        <v>3000</v>
      </c>
      <c r="I54" s="8"/>
      <c r="J54" s="1">
        <f t="shared" si="8"/>
        <v>3000</v>
      </c>
      <c r="K54" s="8"/>
      <c r="L54" s="1">
        <f t="shared" si="9"/>
        <v>3000</v>
      </c>
      <c r="M54" s="8"/>
      <c r="N54" s="9" t="s">
        <v>48</v>
      </c>
      <c r="O54" s="1">
        <v>3333</v>
      </c>
      <c r="Q54" s="1">
        <v>3500</v>
      </c>
      <c r="R54" s="19"/>
      <c r="S54" s="19">
        <v>2250</v>
      </c>
      <c r="T54" s="61">
        <f t="shared" si="7"/>
        <v>0.6428571428571429</v>
      </c>
      <c r="U54" s="65">
        <f>Salaries!N10</f>
        <v>3995.2640000000001</v>
      </c>
      <c r="V54" s="75" t="s">
        <v>157</v>
      </c>
      <c r="W54" s="18"/>
    </row>
    <row r="55" spans="1:26" ht="14.2" customHeight="1" x14ac:dyDescent="0.5">
      <c r="A55" s="3" t="s">
        <v>24</v>
      </c>
      <c r="B55" s="1">
        <v>3633</v>
      </c>
      <c r="D55" s="1">
        <f t="shared" si="4"/>
        <v>2724.75</v>
      </c>
      <c r="F55" s="1">
        <v>2577</v>
      </c>
      <c r="G55" s="8"/>
      <c r="H55" s="1">
        <f>B55*0.78</f>
        <v>2833.7400000000002</v>
      </c>
      <c r="I55" s="8"/>
      <c r="J55" s="1">
        <f t="shared" si="8"/>
        <v>2833.7400000000002</v>
      </c>
      <c r="K55" s="8"/>
      <c r="L55" s="1">
        <f t="shared" si="9"/>
        <v>2833.7400000000002</v>
      </c>
      <c r="M55" s="8"/>
      <c r="N55" s="9" t="s">
        <v>47</v>
      </c>
      <c r="O55" s="1">
        <v>2905</v>
      </c>
      <c r="Q55" s="1">
        <f>Salaries!N14</f>
        <v>3841.6000000000004</v>
      </c>
      <c r="S55" s="1">
        <v>2445</v>
      </c>
      <c r="T55" s="61">
        <f t="shared" si="7"/>
        <v>0.63645356101624317</v>
      </c>
      <c r="U55" s="65">
        <f>Q55+Q55*0.04</f>
        <v>3995.2640000000006</v>
      </c>
      <c r="V55" s="76" t="s">
        <v>157</v>
      </c>
    </row>
    <row r="56" spans="1:26" ht="14.2" customHeight="1" x14ac:dyDescent="0.5">
      <c r="A56" s="3" t="s">
        <v>130</v>
      </c>
      <c r="G56" s="48"/>
      <c r="I56" s="48"/>
      <c r="K56" s="48"/>
      <c r="M56" s="48"/>
      <c r="N56" s="9"/>
      <c r="U56" s="65">
        <f>Salaries!H33</f>
        <v>4124.12</v>
      </c>
      <c r="V56" s="3" t="s">
        <v>166</v>
      </c>
    </row>
    <row r="57" spans="1:26" ht="14.2" customHeight="1" x14ac:dyDescent="0.5">
      <c r="A57" s="3" t="s">
        <v>25</v>
      </c>
      <c r="B57" s="1">
        <v>1879</v>
      </c>
      <c r="D57" s="1">
        <f t="shared" si="4"/>
        <v>1409.25</v>
      </c>
      <c r="F57" s="1">
        <v>1356</v>
      </c>
      <c r="G57" s="8"/>
      <c r="H57" s="1">
        <f>B57*0.78</f>
        <v>1465.6200000000001</v>
      </c>
      <c r="I57" s="8"/>
      <c r="J57" s="1">
        <f t="shared" si="8"/>
        <v>1465.6200000000001</v>
      </c>
      <c r="K57" s="8"/>
      <c r="L57" s="1">
        <f t="shared" si="9"/>
        <v>1465.6200000000001</v>
      </c>
      <c r="M57" s="8"/>
      <c r="N57" s="9" t="s">
        <v>47</v>
      </c>
      <c r="O57" s="1">
        <v>1316</v>
      </c>
      <c r="Q57" s="1">
        <v>1500</v>
      </c>
      <c r="S57" s="1">
        <v>1047</v>
      </c>
      <c r="T57" s="61">
        <f t="shared" si="7"/>
        <v>0.69799999999999995</v>
      </c>
      <c r="U57" s="65">
        <f>Q57+Q57*0.04</f>
        <v>1560</v>
      </c>
      <c r="V57" s="3" t="s">
        <v>158</v>
      </c>
    </row>
    <row r="58" spans="1:26" ht="14.2" customHeight="1" x14ac:dyDescent="0.5">
      <c r="A58" s="3" t="s">
        <v>118</v>
      </c>
      <c r="B58" s="1">
        <v>620</v>
      </c>
      <c r="D58" s="1">
        <f>B58*0.75</f>
        <v>465</v>
      </c>
      <c r="F58" s="1">
        <v>3500</v>
      </c>
      <c r="H58" s="1">
        <v>1225</v>
      </c>
      <c r="J58" s="1">
        <f>H58</f>
        <v>1225</v>
      </c>
      <c r="L58" s="1">
        <f t="shared" si="9"/>
        <v>1225</v>
      </c>
      <c r="N58" s="9" t="s">
        <v>64</v>
      </c>
      <c r="O58" s="1">
        <v>525</v>
      </c>
      <c r="Q58" s="1">
        <f>5*275</f>
        <v>1375</v>
      </c>
      <c r="S58" s="1">
        <v>4900</v>
      </c>
      <c r="T58" s="68">
        <f t="shared" si="7"/>
        <v>3.5636363636363635</v>
      </c>
      <c r="U58" s="41">
        <v>675</v>
      </c>
      <c r="V58" s="38" t="s">
        <v>167</v>
      </c>
    </row>
    <row r="59" spans="1:26" x14ac:dyDescent="0.4">
      <c r="A59" s="3" t="s">
        <v>119</v>
      </c>
      <c r="Q59" s="1">
        <v>400</v>
      </c>
      <c r="S59" s="1">
        <v>114</v>
      </c>
      <c r="T59" s="61">
        <f t="shared" si="7"/>
        <v>0.28499999999999998</v>
      </c>
      <c r="U59" s="41">
        <v>400</v>
      </c>
    </row>
    <row r="60" spans="1:26" x14ac:dyDescent="0.4">
      <c r="A60" s="3" t="s">
        <v>127</v>
      </c>
      <c r="U60" s="41">
        <v>1000</v>
      </c>
      <c r="V60" s="3" t="s">
        <v>159</v>
      </c>
    </row>
    <row r="61" spans="1:26" x14ac:dyDescent="0.4">
      <c r="S61" s="1">
        <f>SUM(S30:S59)</f>
        <v>45726</v>
      </c>
      <c r="U61" s="11">
        <f>SUM(U30:U60)</f>
        <v>114069.66495999998</v>
      </c>
    </row>
    <row r="62" spans="1:26" ht="14.2" customHeight="1" x14ac:dyDescent="0.45">
      <c r="N62" s="9"/>
      <c r="R62" s="20"/>
      <c r="S62" s="20"/>
      <c r="U62" s="20"/>
    </row>
    <row r="63" spans="1:26" ht="14.2" customHeight="1" x14ac:dyDescent="0.4">
      <c r="B63" s="4" t="s">
        <v>49</v>
      </c>
      <c r="C63" s="4"/>
      <c r="D63" s="4" t="s">
        <v>59</v>
      </c>
      <c r="E63" s="4"/>
      <c r="F63" s="4" t="s">
        <v>57</v>
      </c>
      <c r="G63" s="4"/>
      <c r="H63" s="13" t="s">
        <v>71</v>
      </c>
      <c r="I63" s="4"/>
      <c r="J63" s="4" t="s">
        <v>78</v>
      </c>
      <c r="L63" s="4" t="s">
        <v>49</v>
      </c>
      <c r="O63" s="4" t="s">
        <v>112</v>
      </c>
      <c r="Q63" s="11" t="s">
        <v>89</v>
      </c>
      <c r="S63" s="37" t="s">
        <v>112</v>
      </c>
      <c r="U63" s="36" t="s">
        <v>89</v>
      </c>
    </row>
    <row r="64" spans="1:26" ht="14.2" customHeight="1" thickBot="1" x14ac:dyDescent="0.45">
      <c r="A64" s="14" t="s">
        <v>54</v>
      </c>
      <c r="B64" s="6" t="s">
        <v>1</v>
      </c>
      <c r="D64" s="7" t="s">
        <v>1</v>
      </c>
      <c r="F64" s="7" t="s">
        <v>1</v>
      </c>
      <c r="H64" s="7" t="s">
        <v>58</v>
      </c>
      <c r="J64" s="7" t="s">
        <v>58</v>
      </c>
      <c r="L64" s="7" t="s">
        <v>58</v>
      </c>
      <c r="N64" s="6" t="s">
        <v>43</v>
      </c>
      <c r="O64" s="6" t="s">
        <v>114</v>
      </c>
      <c r="P64" s="11"/>
      <c r="Q64" s="23" t="s">
        <v>90</v>
      </c>
      <c r="S64" s="37" t="s">
        <v>139</v>
      </c>
      <c r="U64" s="36" t="s">
        <v>125</v>
      </c>
      <c r="X64" s="20"/>
    </row>
    <row r="65" spans="1:25" ht="14.2" customHeight="1" x14ac:dyDescent="0.5">
      <c r="A65" s="3" t="s">
        <v>26</v>
      </c>
      <c r="B65" s="1">
        <f>27000+5000</f>
        <v>32000</v>
      </c>
      <c r="D65" s="1">
        <f t="shared" si="4"/>
        <v>24000</v>
      </c>
      <c r="F65" s="1">
        <f>21600+4000</f>
        <v>25600</v>
      </c>
      <c r="G65" s="8"/>
      <c r="H65" s="1">
        <f>B65*1.05*1.5</f>
        <v>50400</v>
      </c>
      <c r="I65" s="8"/>
      <c r="J65" s="22">
        <f t="shared" ref="J65:J77" si="10">H65</f>
        <v>50400</v>
      </c>
      <c r="K65" s="8"/>
      <c r="L65" s="1">
        <f>H65</f>
        <v>50400</v>
      </c>
      <c r="M65" s="8"/>
      <c r="N65" s="9" t="s">
        <v>76</v>
      </c>
      <c r="O65" s="1">
        <f>31167+10833</f>
        <v>42000</v>
      </c>
      <c r="Q65" s="1">
        <f>Salaries!C7</f>
        <v>52416</v>
      </c>
      <c r="S65" s="1">
        <f>29172+9760</f>
        <v>38932</v>
      </c>
      <c r="T65" s="61">
        <f t="shared" ref="T65:T86" si="11">S65/Q65</f>
        <v>0.74275030525030528</v>
      </c>
      <c r="U65" s="65">
        <f>Salaries!H7</f>
        <v>54512.639999999999</v>
      </c>
      <c r="V65" s="3" t="s">
        <v>156</v>
      </c>
      <c r="W65" s="21"/>
      <c r="X65" s="21"/>
    </row>
    <row r="66" spans="1:25" ht="14.2" customHeight="1" x14ac:dyDescent="0.5">
      <c r="A66" s="3" t="s">
        <v>27</v>
      </c>
      <c r="B66" s="1">
        <v>2448</v>
      </c>
      <c r="D66" s="1">
        <f t="shared" si="4"/>
        <v>1836</v>
      </c>
      <c r="F66" s="1">
        <v>1652</v>
      </c>
      <c r="G66" s="8"/>
      <c r="H66" s="1">
        <f>B66*1.05*1.5</f>
        <v>3855.6000000000004</v>
      </c>
      <c r="I66" s="8"/>
      <c r="J66" s="1">
        <f t="shared" si="10"/>
        <v>3855.6000000000004</v>
      </c>
      <c r="K66" s="8"/>
      <c r="L66" s="1">
        <f>H66</f>
        <v>3855.6000000000004</v>
      </c>
      <c r="M66" s="8"/>
      <c r="N66" s="9" t="s">
        <v>75</v>
      </c>
      <c r="O66" s="1">
        <v>2384</v>
      </c>
      <c r="Q66" s="1">
        <f>Salaries!C9</f>
        <v>2975.5439999999999</v>
      </c>
      <c r="S66" s="1">
        <v>2232</v>
      </c>
      <c r="T66" s="61">
        <f t="shared" si="11"/>
        <v>0.75011493696614806</v>
      </c>
      <c r="U66" s="41">
        <f>Salaries!H9</f>
        <v>3094.56576</v>
      </c>
      <c r="V66" s="77" t="s">
        <v>157</v>
      </c>
      <c r="W66" s="21"/>
      <c r="X66" s="21"/>
    </row>
    <row r="67" spans="1:25" ht="14.2" customHeight="1" x14ac:dyDescent="0.5">
      <c r="A67" s="3" t="s">
        <v>28</v>
      </c>
      <c r="B67" s="1">
        <v>4000</v>
      </c>
      <c r="D67" s="1">
        <f t="shared" si="4"/>
        <v>3000</v>
      </c>
      <c r="F67" s="1">
        <v>2661</v>
      </c>
      <c r="G67" s="8"/>
      <c r="H67" s="1">
        <f>B67*1.05*1.5</f>
        <v>6300</v>
      </c>
      <c r="I67" s="8"/>
      <c r="J67" s="1">
        <f t="shared" si="10"/>
        <v>6300</v>
      </c>
      <c r="K67" s="8"/>
      <c r="L67" s="1">
        <f>H67</f>
        <v>6300</v>
      </c>
      <c r="M67" s="8"/>
      <c r="N67" s="9" t="s">
        <v>72</v>
      </c>
      <c r="Q67" s="1">
        <v>1500</v>
      </c>
      <c r="T67" s="61">
        <f t="shared" si="11"/>
        <v>0</v>
      </c>
      <c r="U67" s="41">
        <f>Q67+Q67*0.04</f>
        <v>1560</v>
      </c>
      <c r="V67" s="77" t="s">
        <v>157</v>
      </c>
      <c r="W67" s="21"/>
      <c r="X67" s="21"/>
    </row>
    <row r="68" spans="1:25" ht="14.2" customHeight="1" x14ac:dyDescent="0.5">
      <c r="A68" s="3" t="s">
        <v>29</v>
      </c>
      <c r="B68" s="1">
        <v>3200</v>
      </c>
      <c r="D68" s="1">
        <f t="shared" si="4"/>
        <v>2400</v>
      </c>
      <c r="F68" s="1">
        <v>2540</v>
      </c>
      <c r="G68" s="8"/>
      <c r="H68" s="1">
        <f>B68*1.05*1.5</f>
        <v>5040</v>
      </c>
      <c r="I68" s="8"/>
      <c r="J68" s="1">
        <f t="shared" si="10"/>
        <v>5040</v>
      </c>
      <c r="K68" s="8"/>
      <c r="L68" s="1">
        <f>H68</f>
        <v>5040</v>
      </c>
      <c r="M68" s="8"/>
      <c r="N68" s="9" t="s">
        <v>75</v>
      </c>
      <c r="O68" s="1">
        <v>4224</v>
      </c>
      <c r="Q68" s="1">
        <f>Salaries!C10</f>
        <v>5241.6000000000004</v>
      </c>
      <c r="S68" s="1">
        <v>3913</v>
      </c>
      <c r="T68" s="61">
        <f t="shared" si="11"/>
        <v>0.74652777777777768</v>
      </c>
      <c r="U68" s="41">
        <f>Salaries!H10</f>
        <v>5451.2640000000001</v>
      </c>
      <c r="V68" s="77" t="s">
        <v>157</v>
      </c>
      <c r="W68" s="21"/>
      <c r="X68" s="21"/>
    </row>
    <row r="69" spans="1:25" ht="14.2" customHeight="1" x14ac:dyDescent="0.5">
      <c r="A69" s="3" t="s">
        <v>52</v>
      </c>
      <c r="B69" s="1">
        <v>3200</v>
      </c>
      <c r="D69" s="1">
        <f t="shared" si="4"/>
        <v>2400</v>
      </c>
      <c r="F69" s="1">
        <v>0</v>
      </c>
      <c r="G69" s="8"/>
      <c r="H69" s="1">
        <f>B69*1.05*1.5</f>
        <v>5040</v>
      </c>
      <c r="I69" s="8"/>
      <c r="J69" s="1">
        <f t="shared" si="10"/>
        <v>5040</v>
      </c>
      <c r="K69" s="8"/>
      <c r="L69" s="1">
        <f>H69</f>
        <v>5040</v>
      </c>
      <c r="M69" s="8"/>
      <c r="N69" s="9" t="s">
        <v>75</v>
      </c>
      <c r="O69" s="1">
        <f>797+538</f>
        <v>1335</v>
      </c>
      <c r="Q69" s="1">
        <f>Salaries!C11</f>
        <v>5241.6000000000004</v>
      </c>
      <c r="S69" s="1">
        <v>458</v>
      </c>
      <c r="T69" s="61">
        <f t="shared" si="11"/>
        <v>8.7377899877899873E-2</v>
      </c>
      <c r="U69" s="41">
        <f>Salaries!H11</f>
        <v>5451.2640000000001</v>
      </c>
      <c r="V69" s="21"/>
      <c r="W69" s="21"/>
      <c r="X69" s="21"/>
    </row>
    <row r="70" spans="1:25" ht="14.2" customHeight="1" x14ac:dyDescent="0.45">
      <c r="A70" s="3" t="s">
        <v>53</v>
      </c>
      <c r="B70" s="1">
        <v>3500</v>
      </c>
      <c r="D70" s="1">
        <f>B70*0.75</f>
        <v>2625</v>
      </c>
      <c r="F70" s="1">
        <v>0</v>
      </c>
      <c r="H70" s="1">
        <v>500</v>
      </c>
      <c r="J70" s="1">
        <f t="shared" si="10"/>
        <v>500</v>
      </c>
      <c r="L70" s="1">
        <f t="shared" ref="L70:L77" si="12">H70</f>
        <v>500</v>
      </c>
      <c r="N70" s="9"/>
      <c r="Q70" s="1">
        <v>500</v>
      </c>
      <c r="S70" s="1">
        <v>0</v>
      </c>
      <c r="T70" s="61">
        <f t="shared" si="11"/>
        <v>0</v>
      </c>
      <c r="U70" s="41">
        <v>600</v>
      </c>
      <c r="V70" s="21" t="s">
        <v>175</v>
      </c>
      <c r="W70" s="21"/>
      <c r="X70" s="21"/>
    </row>
    <row r="71" spans="1:25" ht="14.2" customHeight="1" x14ac:dyDescent="0.45">
      <c r="A71" s="3" t="s">
        <v>30</v>
      </c>
      <c r="B71" s="1">
        <v>500</v>
      </c>
      <c r="D71" s="1">
        <f t="shared" ref="D71:D85" si="13">B71*0.75</f>
        <v>375</v>
      </c>
      <c r="F71" s="1">
        <v>465</v>
      </c>
      <c r="H71" s="1">
        <v>500</v>
      </c>
      <c r="J71" s="1">
        <f t="shared" si="10"/>
        <v>500</v>
      </c>
      <c r="L71" s="1">
        <f t="shared" si="12"/>
        <v>500</v>
      </c>
      <c r="N71" s="9"/>
      <c r="O71" s="1">
        <v>1458</v>
      </c>
      <c r="Q71" s="1">
        <v>500</v>
      </c>
      <c r="S71" s="1">
        <v>1170</v>
      </c>
      <c r="T71" s="68">
        <f t="shared" si="11"/>
        <v>2.34</v>
      </c>
      <c r="U71" s="41">
        <v>500</v>
      </c>
      <c r="V71" s="21"/>
      <c r="W71" s="21"/>
      <c r="X71" s="21"/>
    </row>
    <row r="72" spans="1:25" ht="14.2" customHeight="1" x14ac:dyDescent="0.45">
      <c r="A72" s="3" t="s">
        <v>31</v>
      </c>
      <c r="B72" s="1">
        <v>6000</v>
      </c>
      <c r="D72" s="1">
        <f t="shared" si="13"/>
        <v>4500</v>
      </c>
      <c r="F72" s="1">
        <v>4500</v>
      </c>
      <c r="H72" s="1">
        <v>6000</v>
      </c>
      <c r="J72" s="1">
        <f t="shared" si="10"/>
        <v>6000</v>
      </c>
      <c r="L72" s="1">
        <f t="shared" si="12"/>
        <v>6000</v>
      </c>
      <c r="N72" s="9"/>
      <c r="O72" s="1">
        <v>4500</v>
      </c>
      <c r="Q72" s="1">
        <v>6000</v>
      </c>
      <c r="S72" s="1">
        <v>4500</v>
      </c>
      <c r="T72" s="61">
        <f t="shared" si="11"/>
        <v>0.75</v>
      </c>
      <c r="U72" s="41">
        <v>6000</v>
      </c>
      <c r="V72" s="21"/>
      <c r="W72" s="21"/>
      <c r="X72" s="21"/>
    </row>
    <row r="73" spans="1:25" ht="14.2" customHeight="1" x14ac:dyDescent="0.45">
      <c r="A73" s="3" t="s">
        <v>32</v>
      </c>
      <c r="B73" s="1">
        <v>9000</v>
      </c>
      <c r="D73" s="1">
        <f t="shared" si="13"/>
        <v>6750</v>
      </c>
      <c r="F73" s="1">
        <v>5328</v>
      </c>
      <c r="H73" s="1">
        <v>9000</v>
      </c>
      <c r="J73" s="1">
        <f t="shared" si="10"/>
        <v>9000</v>
      </c>
      <c r="L73" s="1">
        <f t="shared" si="12"/>
        <v>9000</v>
      </c>
      <c r="N73" s="9"/>
      <c r="O73" s="1">
        <v>5012</v>
      </c>
      <c r="Q73" s="1">
        <v>10500</v>
      </c>
      <c r="S73" s="1">
        <v>10485</v>
      </c>
      <c r="T73" s="61">
        <f t="shared" si="11"/>
        <v>0.99857142857142855</v>
      </c>
      <c r="U73" s="41">
        <v>10500</v>
      </c>
    </row>
    <row r="74" spans="1:25" ht="14.2" customHeight="1" x14ac:dyDescent="0.45">
      <c r="A74" s="3" t="s">
        <v>33</v>
      </c>
      <c r="B74" s="1">
        <v>4000</v>
      </c>
      <c r="D74" s="1">
        <f t="shared" si="13"/>
        <v>3000</v>
      </c>
      <c r="F74" s="1">
        <f>1945+30+66</f>
        <v>2041</v>
      </c>
      <c r="H74" s="1">
        <v>3000</v>
      </c>
      <c r="J74" s="1">
        <f t="shared" si="10"/>
        <v>3000</v>
      </c>
      <c r="L74" s="1">
        <f t="shared" si="12"/>
        <v>3000</v>
      </c>
      <c r="N74" s="9" t="s">
        <v>69</v>
      </c>
      <c r="O74" s="1">
        <v>3398</v>
      </c>
      <c r="Q74" s="1">
        <v>4000</v>
      </c>
      <c r="S74" s="1">
        <v>3122</v>
      </c>
      <c r="T74" s="61">
        <f t="shared" si="11"/>
        <v>0.78049999999999997</v>
      </c>
      <c r="U74" s="41">
        <v>4200</v>
      </c>
      <c r="V74" s="3" t="s">
        <v>160</v>
      </c>
    </row>
    <row r="75" spans="1:25" ht="14.2" customHeight="1" x14ac:dyDescent="0.45">
      <c r="A75" s="3" t="s">
        <v>129</v>
      </c>
      <c r="N75" s="9"/>
      <c r="U75" s="41">
        <v>200</v>
      </c>
      <c r="V75" s="3" t="s">
        <v>168</v>
      </c>
    </row>
    <row r="76" spans="1:25" ht="14.2" customHeight="1" x14ac:dyDescent="0.45">
      <c r="A76" s="3" t="s">
        <v>34</v>
      </c>
      <c r="B76" s="1">
        <v>200</v>
      </c>
      <c r="D76" s="1">
        <f t="shared" si="13"/>
        <v>150</v>
      </c>
      <c r="F76" s="1">
        <v>0</v>
      </c>
      <c r="H76" s="1">
        <v>200</v>
      </c>
      <c r="J76" s="1">
        <f t="shared" si="10"/>
        <v>200</v>
      </c>
      <c r="L76" s="1">
        <f t="shared" si="12"/>
        <v>200</v>
      </c>
      <c r="N76" s="9"/>
      <c r="Q76" s="1">
        <v>1000</v>
      </c>
      <c r="S76" s="1">
        <v>65</v>
      </c>
      <c r="T76" s="61">
        <f t="shared" si="11"/>
        <v>6.5000000000000002E-2</v>
      </c>
      <c r="U76" s="41">
        <v>1000</v>
      </c>
    </row>
    <row r="77" spans="1:25" ht="14.2" customHeight="1" x14ac:dyDescent="0.45">
      <c r="A77" s="3" t="s">
        <v>35</v>
      </c>
      <c r="B77" s="1">
        <v>5806</v>
      </c>
      <c r="D77" s="1">
        <f t="shared" si="13"/>
        <v>4354.5</v>
      </c>
      <c r="F77" s="1">
        <v>4422</v>
      </c>
      <c r="H77" s="1">
        <v>5265</v>
      </c>
      <c r="J77" s="1">
        <f t="shared" si="10"/>
        <v>5265</v>
      </c>
      <c r="L77" s="1">
        <f t="shared" si="12"/>
        <v>5265</v>
      </c>
      <c r="N77" s="9"/>
      <c r="O77" s="1">
        <v>4834</v>
      </c>
      <c r="Q77" s="1">
        <v>5700</v>
      </c>
      <c r="S77" s="1">
        <v>5030</v>
      </c>
      <c r="T77" s="68">
        <f t="shared" si="11"/>
        <v>0.88245614035087716</v>
      </c>
      <c r="U77" s="41">
        <v>5700</v>
      </c>
    </row>
    <row r="78" spans="1:25" ht="14.2" customHeight="1" x14ac:dyDescent="0.45">
      <c r="A78" s="3" t="s">
        <v>67</v>
      </c>
      <c r="B78" s="1">
        <v>0</v>
      </c>
      <c r="D78" s="1">
        <v>0</v>
      </c>
      <c r="F78" s="1">
        <v>0</v>
      </c>
      <c r="H78" s="1">
        <v>0</v>
      </c>
      <c r="J78" s="1">
        <v>1500</v>
      </c>
      <c r="L78" s="1">
        <v>1500</v>
      </c>
      <c r="N78" s="9" t="s">
        <v>68</v>
      </c>
      <c r="O78" s="1">
        <v>2100</v>
      </c>
      <c r="S78" s="1">
        <v>299</v>
      </c>
      <c r="U78" s="41"/>
      <c r="V78" s="3" t="s">
        <v>169</v>
      </c>
    </row>
    <row r="79" spans="1:25" ht="14.2" customHeight="1" x14ac:dyDescent="0.45">
      <c r="A79" s="3" t="s">
        <v>36</v>
      </c>
      <c r="B79" s="1">
        <v>3500</v>
      </c>
      <c r="D79" s="1">
        <f t="shared" si="13"/>
        <v>2625</v>
      </c>
      <c r="F79" s="1">
        <v>2442</v>
      </c>
      <c r="H79" s="1">
        <v>3750</v>
      </c>
      <c r="J79" s="1">
        <f t="shared" ref="J79:J84" si="14">H79</f>
        <v>3750</v>
      </c>
      <c r="L79" s="1">
        <f t="shared" ref="L79:L84" si="15">H79</f>
        <v>3750</v>
      </c>
      <c r="N79" s="9"/>
      <c r="O79" s="1">
        <v>5993</v>
      </c>
      <c r="Q79" s="1">
        <v>4500</v>
      </c>
      <c r="S79" s="1">
        <v>1040</v>
      </c>
      <c r="T79" s="61">
        <f t="shared" si="11"/>
        <v>0.2311111111111111</v>
      </c>
      <c r="U79" s="41">
        <v>2000</v>
      </c>
      <c r="V79" s="3" t="s">
        <v>170</v>
      </c>
      <c r="W79" s="35"/>
      <c r="X79" s="35"/>
      <c r="Y79" s="35"/>
    </row>
    <row r="80" spans="1:25" ht="14.2" customHeight="1" x14ac:dyDescent="0.45">
      <c r="A80" s="3" t="s">
        <v>37</v>
      </c>
      <c r="B80" s="1">
        <v>225</v>
      </c>
      <c r="D80" s="1">
        <f t="shared" si="13"/>
        <v>168.75</v>
      </c>
      <c r="F80" s="1">
        <v>200</v>
      </c>
      <c r="H80" s="1">
        <v>1200</v>
      </c>
      <c r="J80" s="1">
        <f t="shared" si="14"/>
        <v>1200</v>
      </c>
      <c r="L80" s="1">
        <f t="shared" si="15"/>
        <v>1200</v>
      </c>
      <c r="N80" s="9"/>
      <c r="Q80" s="1">
        <v>1200</v>
      </c>
      <c r="S80" s="1">
        <v>0</v>
      </c>
      <c r="T80" s="61">
        <f t="shared" si="11"/>
        <v>0</v>
      </c>
      <c r="U80" s="41">
        <v>0</v>
      </c>
      <c r="V80" s="3" t="s">
        <v>171</v>
      </c>
      <c r="Y80" s="35"/>
    </row>
    <row r="81" spans="1:24" ht="14.2" customHeight="1" x14ac:dyDescent="0.45">
      <c r="A81" s="3" t="s">
        <v>65</v>
      </c>
      <c r="B81" s="1">
        <v>1000</v>
      </c>
      <c r="D81" s="1">
        <f t="shared" si="13"/>
        <v>750</v>
      </c>
      <c r="F81" s="1">
        <v>1140</v>
      </c>
      <c r="H81" s="1">
        <v>1500</v>
      </c>
      <c r="J81" s="1">
        <f t="shared" si="14"/>
        <v>1500</v>
      </c>
      <c r="L81" s="1">
        <f t="shared" si="15"/>
        <v>1500</v>
      </c>
      <c r="N81" s="9"/>
      <c r="O81" s="1">
        <v>683</v>
      </c>
      <c r="Q81" s="1">
        <v>1500</v>
      </c>
      <c r="S81" s="1">
        <v>1678</v>
      </c>
      <c r="T81" s="68">
        <f t="shared" si="11"/>
        <v>1.1186666666666667</v>
      </c>
      <c r="U81" s="41">
        <v>1500</v>
      </c>
    </row>
    <row r="82" spans="1:24" ht="14.2" customHeight="1" x14ac:dyDescent="0.45">
      <c r="A82" s="3" t="s">
        <v>38</v>
      </c>
      <c r="B82" s="1">
        <v>8500</v>
      </c>
      <c r="D82" s="1">
        <f t="shared" si="13"/>
        <v>6375</v>
      </c>
      <c r="F82" s="1">
        <v>10128</v>
      </c>
      <c r="H82" s="1">
        <v>9500</v>
      </c>
      <c r="J82" s="1">
        <f t="shared" si="14"/>
        <v>9500</v>
      </c>
      <c r="L82" s="1">
        <f t="shared" si="15"/>
        <v>9500</v>
      </c>
      <c r="N82" s="9"/>
      <c r="O82" s="1">
        <v>15154</v>
      </c>
      <c r="Q82" s="1">
        <v>7500</v>
      </c>
      <c r="S82" s="1">
        <v>12902</v>
      </c>
      <c r="T82" s="68">
        <f t="shared" si="11"/>
        <v>1.7202666666666666</v>
      </c>
      <c r="U82" s="41">
        <v>10000</v>
      </c>
      <c r="V82" s="3" t="s">
        <v>172</v>
      </c>
    </row>
    <row r="83" spans="1:24" ht="14.2" customHeight="1" x14ac:dyDescent="0.45">
      <c r="A83" s="3" t="s">
        <v>39</v>
      </c>
      <c r="B83" s="1">
        <v>8437</v>
      </c>
      <c r="D83" s="1">
        <f t="shared" si="13"/>
        <v>6327.75</v>
      </c>
      <c r="F83" s="1">
        <v>2282</v>
      </c>
      <c r="H83" s="1">
        <v>4564</v>
      </c>
      <c r="J83" s="1">
        <f t="shared" si="14"/>
        <v>4564</v>
      </c>
      <c r="L83" s="1">
        <f t="shared" si="15"/>
        <v>4564</v>
      </c>
      <c r="N83" s="9" t="s">
        <v>61</v>
      </c>
      <c r="O83" s="1">
        <v>2155</v>
      </c>
      <c r="Q83" s="1">
        <v>4700</v>
      </c>
      <c r="S83" s="1">
        <v>2533</v>
      </c>
      <c r="T83" s="61">
        <f t="shared" si="11"/>
        <v>0.53893617021276596</v>
      </c>
      <c r="U83" s="41">
        <f>4700+(4700*0.059)</f>
        <v>4977.3</v>
      </c>
      <c r="V83" s="3" t="s">
        <v>176</v>
      </c>
    </row>
    <row r="84" spans="1:24" ht="14.2" customHeight="1" x14ac:dyDescent="0.45">
      <c r="A84" s="3" t="s">
        <v>40</v>
      </c>
      <c r="B84" s="1">
        <v>9120</v>
      </c>
      <c r="D84" s="1">
        <f t="shared" si="13"/>
        <v>6840</v>
      </c>
      <c r="F84" s="1">
        <v>2822</v>
      </c>
      <c r="H84" s="1">
        <v>3762</v>
      </c>
      <c r="J84" s="1">
        <f t="shared" si="14"/>
        <v>3762</v>
      </c>
      <c r="L84" s="1">
        <f t="shared" si="15"/>
        <v>3762</v>
      </c>
      <c r="N84" s="9" t="s">
        <v>62</v>
      </c>
      <c r="O84" s="1">
        <v>4469</v>
      </c>
      <c r="Q84" s="1">
        <v>5000</v>
      </c>
      <c r="S84" s="1">
        <v>6250</v>
      </c>
      <c r="T84" s="68">
        <f t="shared" si="11"/>
        <v>1.25</v>
      </c>
      <c r="U84" s="41">
        <v>6500</v>
      </c>
      <c r="V84" s="3" t="s">
        <v>177</v>
      </c>
    </row>
    <row r="85" spans="1:24" ht="14.2" customHeight="1" thickBot="1" x14ac:dyDescent="0.5">
      <c r="A85" s="3" t="s">
        <v>41</v>
      </c>
      <c r="B85" s="10">
        <v>3600</v>
      </c>
      <c r="D85" s="10">
        <f t="shared" si="13"/>
        <v>2700</v>
      </c>
      <c r="F85" s="10">
        <v>2665</v>
      </c>
      <c r="H85" s="10">
        <v>3600</v>
      </c>
      <c r="J85" s="10">
        <v>3400</v>
      </c>
      <c r="L85" s="10">
        <v>3400</v>
      </c>
      <c r="N85" s="9" t="s">
        <v>62</v>
      </c>
      <c r="O85" s="10">
        <v>3081</v>
      </c>
      <c r="P85"/>
      <c r="Q85" s="10">
        <v>4000</v>
      </c>
      <c r="S85" s="1">
        <v>4526</v>
      </c>
      <c r="T85" s="68">
        <f t="shared" si="11"/>
        <v>1.1315</v>
      </c>
      <c r="U85" s="41">
        <v>5000</v>
      </c>
      <c r="V85" s="3" t="s">
        <v>161</v>
      </c>
    </row>
    <row r="86" spans="1:24" ht="14.2" customHeight="1" thickTop="1" x14ac:dyDescent="0.4">
      <c r="A86" s="5" t="s">
        <v>42</v>
      </c>
      <c r="B86" s="11">
        <f>SUM(B30:B85)</f>
        <v>202466</v>
      </c>
      <c r="D86" s="11">
        <f>SUM(D30:D85)</f>
        <v>151849.5</v>
      </c>
      <c r="F86" s="11">
        <f>SUM(F30:F85)</f>
        <v>127519</v>
      </c>
      <c r="H86" s="11">
        <f>SUM(H30:H85)</f>
        <v>201378.03</v>
      </c>
      <c r="J86" s="11">
        <f>SUM(J30:J85)</f>
        <v>202328.03</v>
      </c>
      <c r="L86" s="11">
        <f>SUM(L30:L85)</f>
        <v>213328.03</v>
      </c>
      <c r="O86" s="11">
        <f>SUM(O30:O85)</f>
        <v>169632</v>
      </c>
      <c r="P86" s="11"/>
      <c r="Q86" s="11">
        <f>SUM(Q30:Q85)</f>
        <v>227708.16800000001</v>
      </c>
      <c r="S86" s="11">
        <f>SUM(S65:S85)+S61</f>
        <v>144861</v>
      </c>
      <c r="T86" s="66">
        <f t="shared" si="11"/>
        <v>0.63616953784459762</v>
      </c>
      <c r="U86" s="42">
        <f>SUM(U65:U85)+U61</f>
        <v>242816.69871999999</v>
      </c>
    </row>
    <row r="88" spans="1:24" ht="14.2" customHeight="1" x14ac:dyDescent="0.4">
      <c r="A88" s="15" t="s">
        <v>50</v>
      </c>
      <c r="B88" s="16">
        <f>B25-B86</f>
        <v>13160</v>
      </c>
      <c r="C88" s="16"/>
      <c r="D88" s="16">
        <f>D25-D86</f>
        <v>9870</v>
      </c>
      <c r="E88" s="16"/>
      <c r="F88" s="16">
        <f>F25-F86</f>
        <v>15615</v>
      </c>
      <c r="G88" s="17"/>
      <c r="H88" s="16">
        <f>H25-H86</f>
        <v>-13201.029999999999</v>
      </c>
      <c r="I88" s="17"/>
      <c r="J88" s="16">
        <f>J25-J86</f>
        <v>-4267.0299999999988</v>
      </c>
      <c r="K88" s="17"/>
      <c r="L88" s="16">
        <f>L25-L86</f>
        <v>-2.9999999998835847E-2</v>
      </c>
      <c r="M88" s="17"/>
      <c r="O88" s="11">
        <f>O25-O86</f>
        <v>27833</v>
      </c>
      <c r="Q88" s="11">
        <f>Q25-Q86</f>
        <v>4807.8319999999949</v>
      </c>
      <c r="U88" s="84">
        <f>U25-U86</f>
        <v>7695.1812800000189</v>
      </c>
    </row>
    <row r="89" spans="1:24" ht="53.7" customHeight="1" x14ac:dyDescent="0.4">
      <c r="A89" s="59" t="s">
        <v>141</v>
      </c>
      <c r="B89" s="16"/>
      <c r="C89" s="16"/>
      <c r="D89" s="16"/>
      <c r="E89" s="16"/>
      <c r="F89" s="16"/>
      <c r="G89" s="17"/>
      <c r="H89" s="16"/>
      <c r="I89" s="17"/>
      <c r="J89" s="16"/>
      <c r="K89" s="17"/>
      <c r="L89" s="16"/>
      <c r="M89" s="17"/>
      <c r="O89" s="11"/>
      <c r="Q89" s="11"/>
      <c r="U89" s="78">
        <v>3000</v>
      </c>
      <c r="V89" s="79" t="s">
        <v>173</v>
      </c>
      <c r="W89" s="79"/>
      <c r="X89" s="79"/>
    </row>
    <row r="90" spans="1:24" ht="41" x14ac:dyDescent="0.4">
      <c r="S90" s="46" t="s">
        <v>135</v>
      </c>
      <c r="T90" s="63"/>
      <c r="U90" s="47">
        <f>U86-Q86</f>
        <v>15108.530719999981</v>
      </c>
    </row>
    <row r="91" spans="1:24" x14ac:dyDescent="0.4">
      <c r="B91" s="1">
        <v>5000</v>
      </c>
    </row>
    <row r="92" spans="1:24" x14ac:dyDescent="0.4">
      <c r="B92" s="1">
        <v>5000</v>
      </c>
      <c r="S92" s="49"/>
      <c r="T92" s="64"/>
      <c r="U92" s="49"/>
      <c r="V92" s="50"/>
      <c r="W92" s="1"/>
    </row>
    <row r="93" spans="1:24" x14ac:dyDescent="0.4">
      <c r="B93" s="1">
        <v>-10000</v>
      </c>
    </row>
    <row r="96" spans="1:24" x14ac:dyDescent="0.4">
      <c r="B96" s="1" t="s">
        <v>91</v>
      </c>
      <c r="F96" s="1">
        <v>129000</v>
      </c>
    </row>
    <row r="97" spans="2:6" x14ac:dyDescent="0.4">
      <c r="B97" s="1" t="s">
        <v>92</v>
      </c>
      <c r="F97" s="20">
        <v>0.1</v>
      </c>
    </row>
    <row r="98" spans="2:6" x14ac:dyDescent="0.4">
      <c r="B98" s="1" t="s">
        <v>93</v>
      </c>
      <c r="F98" s="1">
        <f>F96*F97</f>
        <v>12900</v>
      </c>
    </row>
    <row r="99" spans="2:6" x14ac:dyDescent="0.4">
      <c r="B99" s="1" t="s">
        <v>94</v>
      </c>
      <c r="F99" s="20">
        <v>0.8</v>
      </c>
    </row>
    <row r="100" spans="2:6" x14ac:dyDescent="0.4">
      <c r="B100" s="1" t="s">
        <v>95</v>
      </c>
      <c r="F100" s="1">
        <f>F98*F99</f>
        <v>10320</v>
      </c>
    </row>
  </sheetData>
  <sheetProtection selectLockedCells="1" selectUnlockedCells="1"/>
  <mergeCells count="4">
    <mergeCell ref="A1:R1"/>
    <mergeCell ref="B2:M2"/>
    <mergeCell ref="A3:R3"/>
    <mergeCell ref="V89:X89"/>
  </mergeCells>
  <printOptions horizontalCentered="1" verticalCentered="1"/>
  <pageMargins left="0.25" right="0.25" top="0.75" bottom="0.75" header="0.3" footer="0.3"/>
  <pageSetup firstPageNumber="0" orientation="landscape" horizontalDpi="300" verticalDpi="300" r:id="rId1"/>
  <headerFooter alignWithMargins="0"/>
  <rowBreaks count="2" manualBreakCount="2">
    <brk id="26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3"/>
  <sheetViews>
    <sheetView topLeftCell="A2" zoomScale="80" zoomScaleNormal="80" workbookViewId="0">
      <selection activeCell="C18" sqref="C18"/>
    </sheetView>
  </sheetViews>
  <sheetFormatPr defaultColWidth="11.46875" defaultRowHeight="17.350000000000001" x14ac:dyDescent="0.5"/>
  <cols>
    <col min="1" max="2" width="10.8203125" style="26"/>
    <col min="3" max="3" width="14.17578125" style="26" customWidth="1"/>
    <col min="4" max="4" width="5.29296875" style="26" customWidth="1"/>
    <col min="5" max="5" width="11" style="26" bestFit="1" customWidth="1"/>
    <col min="6" max="6" width="14.17578125" style="26" customWidth="1"/>
    <col min="7" max="7" width="10.8203125" style="26"/>
    <col min="8" max="8" width="14" style="26" customWidth="1"/>
    <col min="9" max="9" width="4.29296875" style="26" customWidth="1"/>
    <col min="10" max="10" width="10.8203125" style="26"/>
    <col min="11" max="12" width="14.29296875" style="26" customWidth="1"/>
    <col min="13" max="13" width="13.8203125" style="26" customWidth="1"/>
    <col min="14" max="14" width="13.46875" style="26" customWidth="1"/>
    <col min="19" max="19" width="13.1171875" customWidth="1"/>
    <col min="20" max="20" width="11.87890625" bestFit="1" customWidth="1"/>
  </cols>
  <sheetData>
    <row r="2" spans="1:21" ht="18" x14ac:dyDescent="0.6">
      <c r="C2" s="27" t="s">
        <v>98</v>
      </c>
      <c r="F2" s="27" t="s">
        <v>99</v>
      </c>
      <c r="H2" s="27" t="s">
        <v>99</v>
      </c>
    </row>
    <row r="3" spans="1:21" x14ac:dyDescent="0.5">
      <c r="E3" s="28">
        <v>0.04</v>
      </c>
      <c r="F3" s="26" t="s">
        <v>100</v>
      </c>
      <c r="H3" s="26" t="s">
        <v>101</v>
      </c>
    </row>
    <row r="4" spans="1:21" ht="18" x14ac:dyDescent="0.6">
      <c r="A4" s="26" t="s">
        <v>102</v>
      </c>
      <c r="J4" s="29"/>
      <c r="K4" s="30" t="s">
        <v>103</v>
      </c>
      <c r="L4" s="30"/>
      <c r="M4" s="30"/>
    </row>
    <row r="5" spans="1:21" x14ac:dyDescent="0.5">
      <c r="B5" s="26" t="s">
        <v>132</v>
      </c>
      <c r="C5" s="31">
        <f>C7-C6</f>
        <v>38896</v>
      </c>
      <c r="D5" s="31"/>
      <c r="E5" s="31"/>
      <c r="F5" s="31"/>
    </row>
    <row r="6" spans="1:21" ht="18" x14ac:dyDescent="0.6">
      <c r="B6" s="26" t="s">
        <v>105</v>
      </c>
      <c r="C6" s="31">
        <v>13520</v>
      </c>
      <c r="D6" s="31"/>
      <c r="E6" s="31"/>
      <c r="F6" s="31"/>
      <c r="K6" s="32" t="s">
        <v>133</v>
      </c>
      <c r="L6" s="32" t="s">
        <v>106</v>
      </c>
      <c r="M6" s="32" t="s">
        <v>107</v>
      </c>
      <c r="N6" s="32" t="s">
        <v>101</v>
      </c>
    </row>
    <row r="7" spans="1:21" ht="18" x14ac:dyDescent="0.6">
      <c r="C7" s="33">
        <v>52416</v>
      </c>
      <c r="D7" s="31"/>
      <c r="E7" s="31"/>
      <c r="F7" s="31">
        <f>C7*4%</f>
        <v>2096.64</v>
      </c>
      <c r="H7" s="31">
        <f>C7+F7</f>
        <v>54512.639999999999</v>
      </c>
    </row>
    <row r="8" spans="1:21" ht="18" x14ac:dyDescent="0.6">
      <c r="C8" s="31"/>
      <c r="D8" s="31"/>
      <c r="E8" s="31"/>
      <c r="F8" s="31"/>
      <c r="J8" s="26" t="s">
        <v>104</v>
      </c>
      <c r="K8" s="31">
        <f>H14</f>
        <v>24000</v>
      </c>
      <c r="L8" s="31">
        <f>H20</f>
        <v>24744.720000000001</v>
      </c>
      <c r="M8" s="31">
        <f>H26</f>
        <v>15207.92</v>
      </c>
      <c r="N8" s="33">
        <f>SUM(K8:M8)</f>
        <v>63952.639999999999</v>
      </c>
      <c r="P8" s="39"/>
      <c r="Q8" s="39"/>
      <c r="R8" s="39"/>
      <c r="T8" s="40"/>
    </row>
    <row r="9" spans="1:21" ht="18" x14ac:dyDescent="0.6">
      <c r="B9" s="26" t="s">
        <v>108</v>
      </c>
      <c r="C9" s="31">
        <f>C5*7.65%</f>
        <v>2975.5439999999999</v>
      </c>
      <c r="D9" s="31"/>
      <c r="E9" s="31"/>
      <c r="F9" s="31">
        <f>C9*E3</f>
        <v>119.02176</v>
      </c>
      <c r="H9" s="31">
        <f>C9+F9</f>
        <v>3094.56576</v>
      </c>
      <c r="J9" s="26" t="s">
        <v>108</v>
      </c>
      <c r="K9" s="31">
        <f>H15</f>
        <v>1836</v>
      </c>
      <c r="L9" s="31">
        <f>H21</f>
        <v>1892.9710799999998</v>
      </c>
      <c r="M9" s="31">
        <f>H27</f>
        <v>1163.40588</v>
      </c>
      <c r="N9" s="33">
        <f>SUM(K9:M9)</f>
        <v>4892.3769599999996</v>
      </c>
      <c r="P9" s="39"/>
      <c r="Q9" s="39"/>
      <c r="R9" s="39"/>
      <c r="T9" s="40"/>
      <c r="U9" s="39"/>
    </row>
    <row r="10" spans="1:21" ht="18" x14ac:dyDescent="0.6">
      <c r="B10" s="26" t="s">
        <v>24</v>
      </c>
      <c r="C10" s="31">
        <f>C7*10%</f>
        <v>5241.6000000000004</v>
      </c>
      <c r="D10" s="31"/>
      <c r="E10" s="31"/>
      <c r="F10" s="31">
        <f>C10*E3</f>
        <v>209.66400000000002</v>
      </c>
      <c r="H10" s="31">
        <f>C10+F10</f>
        <v>5451.2640000000001</v>
      </c>
      <c r="J10" s="26" t="s">
        <v>24</v>
      </c>
      <c r="L10" s="31">
        <f>H22</f>
        <v>2474.4720000000002</v>
      </c>
      <c r="M10" s="31">
        <f>H28</f>
        <v>1520.7920000000001</v>
      </c>
      <c r="N10" s="33">
        <f>SUM(K10:M10)</f>
        <v>3995.2640000000001</v>
      </c>
      <c r="P10" s="39"/>
      <c r="Q10" s="39"/>
      <c r="R10" s="39"/>
      <c r="T10" s="40"/>
      <c r="U10" s="39"/>
    </row>
    <row r="11" spans="1:21" x14ac:dyDescent="0.5">
      <c r="B11" s="26" t="s">
        <v>109</v>
      </c>
      <c r="C11" s="31">
        <f>C7*10%</f>
        <v>5241.6000000000004</v>
      </c>
      <c r="D11" s="31"/>
      <c r="E11" s="31"/>
      <c r="F11" s="31">
        <f>C11*E3</f>
        <v>209.66400000000002</v>
      </c>
      <c r="H11" s="31">
        <f>C11+F11</f>
        <v>5451.2640000000001</v>
      </c>
      <c r="P11" s="39"/>
      <c r="T11" s="40"/>
    </row>
    <row r="12" spans="1:21" ht="18" x14ac:dyDescent="0.6">
      <c r="C12" s="33">
        <f>SUM(C9:C11)</f>
        <v>13458.744000000001</v>
      </c>
      <c r="D12" s="31"/>
      <c r="E12" s="31"/>
      <c r="F12" s="31"/>
      <c r="H12" s="31"/>
      <c r="J12" s="26" t="s">
        <v>147</v>
      </c>
      <c r="K12" s="31">
        <f>C14</f>
        <v>24000</v>
      </c>
      <c r="L12" s="31">
        <f>C20</f>
        <v>23793</v>
      </c>
      <c r="M12" s="31">
        <f>C26</f>
        <v>14623</v>
      </c>
      <c r="N12" s="31">
        <f>SUM(K12,L12,M12)</f>
        <v>62416</v>
      </c>
      <c r="P12" s="40"/>
      <c r="Q12" s="40"/>
      <c r="R12" s="40"/>
      <c r="T12" s="40"/>
    </row>
    <row r="13" spans="1:21" x14ac:dyDescent="0.5">
      <c r="C13" s="31"/>
      <c r="D13" s="31"/>
      <c r="E13" s="31"/>
      <c r="F13" s="31"/>
      <c r="J13" s="26" t="s">
        <v>148</v>
      </c>
      <c r="K13" s="31">
        <f>C15</f>
        <v>1836</v>
      </c>
      <c r="L13" s="31">
        <f>C21</f>
        <v>1820.1644999999999</v>
      </c>
      <c r="M13" s="31">
        <f>C27</f>
        <v>1118.6595</v>
      </c>
      <c r="N13" s="31">
        <f>SUM(K13,L13,M13)</f>
        <v>4774.8239999999996</v>
      </c>
    </row>
    <row r="14" spans="1:21" x14ac:dyDescent="0.5">
      <c r="A14" s="26" t="s">
        <v>133</v>
      </c>
      <c r="B14" s="26" t="s">
        <v>104</v>
      </c>
      <c r="C14" s="31">
        <v>24000</v>
      </c>
      <c r="D14" s="31"/>
      <c r="E14" s="31"/>
      <c r="F14" s="31"/>
      <c r="H14" s="31">
        <v>24000</v>
      </c>
      <c r="J14" s="26" t="s">
        <v>24</v>
      </c>
      <c r="L14" s="31">
        <f>C22</f>
        <v>2379.3000000000002</v>
      </c>
      <c r="M14" s="31">
        <f>C28</f>
        <v>1462.3000000000002</v>
      </c>
      <c r="N14" s="31">
        <f>SUM(K14,L14,M14)</f>
        <v>3841.6000000000004</v>
      </c>
      <c r="Q14" s="39"/>
    </row>
    <row r="15" spans="1:21" x14ac:dyDescent="0.5">
      <c r="B15" s="26" t="s">
        <v>108</v>
      </c>
      <c r="C15" s="31">
        <f>C14*7.65%</f>
        <v>1836</v>
      </c>
      <c r="D15" s="31"/>
      <c r="E15" s="31"/>
      <c r="F15" s="31"/>
      <c r="H15" s="31">
        <f>C15</f>
        <v>1836</v>
      </c>
      <c r="Q15" s="39"/>
      <c r="U15" s="39"/>
    </row>
    <row r="16" spans="1:21" x14ac:dyDescent="0.5">
      <c r="B16" s="26" t="s">
        <v>109</v>
      </c>
      <c r="C16" s="31">
        <f>C14*10%</f>
        <v>2400</v>
      </c>
      <c r="D16" s="31"/>
      <c r="E16" s="31"/>
      <c r="F16" s="31"/>
      <c r="H16" s="31">
        <f>C16</f>
        <v>2400</v>
      </c>
      <c r="Q16" s="39"/>
    </row>
    <row r="17" spans="1:17" ht="18" x14ac:dyDescent="0.6">
      <c r="C17" s="33">
        <f>SUM(C14:C16)</f>
        <v>28236</v>
      </c>
      <c r="D17" s="31"/>
      <c r="E17" s="31"/>
      <c r="F17" s="31"/>
      <c r="Q17" s="45"/>
    </row>
    <row r="18" spans="1:17" x14ac:dyDescent="0.5">
      <c r="B18" s="26" t="s">
        <v>149</v>
      </c>
      <c r="C18" s="26">
        <v>1000</v>
      </c>
      <c r="Q18" s="39"/>
    </row>
    <row r="20" spans="1:17" x14ac:dyDescent="0.5">
      <c r="A20" s="26" t="s">
        <v>106</v>
      </c>
      <c r="B20" s="26" t="s">
        <v>110</v>
      </c>
      <c r="C20" s="31">
        <v>23793</v>
      </c>
      <c r="F20" s="31">
        <f>C20*E3</f>
        <v>951.72</v>
      </c>
      <c r="H20" s="31">
        <f>C20+F20</f>
        <v>24744.720000000001</v>
      </c>
      <c r="K20" s="52"/>
    </row>
    <row r="21" spans="1:17" x14ac:dyDescent="0.5">
      <c r="B21" s="26" t="s">
        <v>108</v>
      </c>
      <c r="C21" s="31">
        <f>C20*7.65%</f>
        <v>1820.1644999999999</v>
      </c>
      <c r="F21" s="31">
        <f>C21*E3</f>
        <v>72.806579999999997</v>
      </c>
      <c r="H21" s="31">
        <f>C21+F21</f>
        <v>1892.9710799999998</v>
      </c>
    </row>
    <row r="22" spans="1:17" x14ac:dyDescent="0.5">
      <c r="B22" s="26" t="s">
        <v>24</v>
      </c>
      <c r="C22" s="31">
        <f>+C20*10%</f>
        <v>2379.3000000000002</v>
      </c>
      <c r="F22" s="31">
        <f>C22*E3</f>
        <v>95.172000000000011</v>
      </c>
      <c r="H22" s="31">
        <f>C22+F22</f>
        <v>2474.4720000000002</v>
      </c>
    </row>
    <row r="23" spans="1:17" ht="18" x14ac:dyDescent="0.6">
      <c r="C23" s="33">
        <f>SUM(C20:C22)</f>
        <v>27992.464499999998</v>
      </c>
      <c r="F23" s="31"/>
    </row>
    <row r="25" spans="1:17" ht="18" x14ac:dyDescent="0.6">
      <c r="F25" s="33"/>
    </row>
    <row r="26" spans="1:17" x14ac:dyDescent="0.5">
      <c r="A26" s="26" t="s">
        <v>107</v>
      </c>
      <c r="B26" s="26" t="s">
        <v>104</v>
      </c>
      <c r="C26" s="31">
        <v>14623</v>
      </c>
      <c r="D26" s="31"/>
      <c r="E26" s="31"/>
      <c r="F26" s="31">
        <f>C26*E3</f>
        <v>584.91999999999996</v>
      </c>
      <c r="G26" s="31"/>
      <c r="H26" s="31">
        <f>C26+F26</f>
        <v>15207.92</v>
      </c>
      <c r="K26" s="52"/>
      <c r="L26" s="31">
        <f>F20+F26</f>
        <v>1536.6399999999999</v>
      </c>
    </row>
    <row r="27" spans="1:17" x14ac:dyDescent="0.5">
      <c r="B27" s="26" t="s">
        <v>108</v>
      </c>
      <c r="C27" s="31">
        <f>C26*7.65%</f>
        <v>1118.6595</v>
      </c>
      <c r="D27" s="31"/>
      <c r="E27" s="31"/>
      <c r="F27" s="31">
        <f>C27*E3</f>
        <v>44.746380000000002</v>
      </c>
      <c r="G27" s="31"/>
      <c r="H27" s="31">
        <f>C27+F27</f>
        <v>1163.40588</v>
      </c>
    </row>
    <row r="28" spans="1:17" x14ac:dyDescent="0.5">
      <c r="B28" s="26" t="s">
        <v>24</v>
      </c>
      <c r="C28" s="31">
        <f>C26*10%</f>
        <v>1462.3000000000002</v>
      </c>
      <c r="D28" s="31"/>
      <c r="E28" s="31"/>
      <c r="F28" s="31">
        <f>C28*E3</f>
        <v>58.492000000000012</v>
      </c>
      <c r="G28" s="31"/>
      <c r="H28" s="31">
        <f>C28+F28</f>
        <v>1520.7920000000001</v>
      </c>
    </row>
    <row r="29" spans="1:17" x14ac:dyDescent="0.5">
      <c r="C29" s="31"/>
      <c r="D29" s="31"/>
      <c r="E29" s="31"/>
      <c r="F29" s="31"/>
      <c r="G29" s="31"/>
      <c r="H29" s="31"/>
    </row>
    <row r="30" spans="1:17" x14ac:dyDescent="0.5">
      <c r="C30" s="31"/>
      <c r="D30" s="31"/>
      <c r="E30" s="31"/>
      <c r="F30" s="31"/>
      <c r="G30" s="31"/>
      <c r="H30" s="31"/>
    </row>
    <row r="31" spans="1:17" ht="18" x14ac:dyDescent="0.6">
      <c r="A31" s="27" t="s">
        <v>111</v>
      </c>
      <c r="C31" s="31"/>
      <c r="D31" s="31"/>
      <c r="E31" s="31"/>
      <c r="F31" s="33">
        <f>SUM(F5:F30)</f>
        <v>4442.8467200000005</v>
      </c>
      <c r="G31" s="31"/>
      <c r="H31" s="31"/>
    </row>
    <row r="33" spans="2:8" x14ac:dyDescent="0.5">
      <c r="B33" s="26" t="s">
        <v>134</v>
      </c>
      <c r="H33" s="52">
        <f>H20/6</f>
        <v>4124.12</v>
      </c>
    </row>
  </sheetData>
  <printOptions gridLines="1"/>
  <pageMargins left="0.7" right="0.7" top="0.75" bottom="0.75" header="0.3" footer="0.3"/>
  <pageSetup scale="7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Salaries</vt:lpstr>
      <vt:lpstr>Sheet1</vt:lpstr>
      <vt:lpstr>Budget!Print_Area</vt:lpstr>
      <vt:lpstr>Salaries!Print_Area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John Saywell</cp:lastModifiedBy>
  <cp:lastPrinted>2024-04-29T01:08:33Z</cp:lastPrinted>
  <dcterms:created xsi:type="dcterms:W3CDTF">2021-04-26T22:37:08Z</dcterms:created>
  <dcterms:modified xsi:type="dcterms:W3CDTF">2024-04-29T14:35:07Z</dcterms:modified>
</cp:coreProperties>
</file>