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tjbrinsdon/Documents/"/>
    </mc:Choice>
  </mc:AlternateContent>
  <xr:revisionPtr revIDLastSave="0" documentId="13_ncr:1_{F7F887ED-50B0-D947-AF6C-78540B9E668B}" xr6:coauthVersionLast="45" xr6:coauthVersionMax="45" xr10:uidLastSave="{00000000-0000-0000-0000-000000000000}"/>
  <bookViews>
    <workbookView xWindow="0" yWindow="460" windowWidth="38400" windowHeight="19580" xr2:uid="{00000000-000D-0000-FFFF-FFFF00000000}"/>
  </bookViews>
  <sheets>
    <sheet name="Budget" sheetId="1" r:id="rId1"/>
    <sheet name="Salaries" sheetId="2" r:id="rId2"/>
  </sheets>
  <definedNames>
    <definedName name="_xlnm.Print_Area" localSheetId="0">Budget!$A$1:$X$79</definedName>
    <definedName name="_xlnm.Print_Area" localSheetId="1">Salaries!$A$1:$N$35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O19" i="1"/>
  <c r="Q19" i="1"/>
  <c r="C26" i="2"/>
  <c r="C28" i="2" s="1"/>
  <c r="F28" i="2" l="1"/>
  <c r="H28" i="2"/>
  <c r="M10" i="2" s="1"/>
  <c r="O56" i="1"/>
  <c r="O12" i="1"/>
  <c r="O60" i="1" l="1"/>
  <c r="O76" i="1"/>
  <c r="O24" i="1"/>
  <c r="O78" i="1" l="1"/>
  <c r="C27" i="2"/>
  <c r="F26" i="2"/>
  <c r="H26" i="2" s="1"/>
  <c r="M8" i="2" s="1"/>
  <c r="C22" i="2"/>
  <c r="F22" i="2" s="1"/>
  <c r="C21" i="2"/>
  <c r="F20" i="2"/>
  <c r="H20" i="2" s="1"/>
  <c r="L8" i="2" s="1"/>
  <c r="C16" i="2"/>
  <c r="C15" i="2"/>
  <c r="F15" i="2" s="1"/>
  <c r="H15" i="2" s="1"/>
  <c r="K9" i="2" s="1"/>
  <c r="F14" i="2"/>
  <c r="H14" i="2" s="1"/>
  <c r="K8" i="2" s="1"/>
  <c r="C9" i="2"/>
  <c r="F9" i="2" s="1"/>
  <c r="C7" i="2"/>
  <c r="C10" i="2" s="1"/>
  <c r="C23" i="2" l="1"/>
  <c r="F21" i="2"/>
  <c r="H21" i="2"/>
  <c r="L9" i="2" s="1"/>
  <c r="F10" i="2"/>
  <c r="H10" i="2" s="1"/>
  <c r="N8" i="2"/>
  <c r="C11" i="2"/>
  <c r="C17" i="2"/>
  <c r="H22" i="2"/>
  <c r="L10" i="2" s="1"/>
  <c r="N10" i="2" s="1"/>
  <c r="F27" i="2"/>
  <c r="H27" i="2" s="1"/>
  <c r="M9" i="2" s="1"/>
  <c r="F7" i="2"/>
  <c r="H9" i="2"/>
  <c r="F16" i="2"/>
  <c r="H16" i="2" s="1"/>
  <c r="F87" i="1"/>
  <c r="F89" i="1" s="1"/>
  <c r="N9" i="2" l="1"/>
  <c r="F11" i="2"/>
  <c r="F31" i="2" s="1"/>
  <c r="H7" i="2"/>
  <c r="C12" i="2"/>
  <c r="Q51" i="1"/>
  <c r="H11" i="2" l="1"/>
  <c r="Q59" i="1" l="1"/>
  <c r="Q24" i="1"/>
  <c r="L48" i="1" l="1"/>
  <c r="J7" i="1"/>
  <c r="H24" i="1"/>
  <c r="H46" i="1"/>
  <c r="L46" i="1" s="1"/>
  <c r="H47" i="1"/>
  <c r="L47" i="1" s="1"/>
  <c r="H49" i="1"/>
  <c r="L49" i="1" s="1"/>
  <c r="H50" i="1"/>
  <c r="L50" i="1" s="1"/>
  <c r="H57" i="1"/>
  <c r="L57" i="1" s="1"/>
  <c r="H58" i="1"/>
  <c r="L58" i="1" s="1"/>
  <c r="H59" i="1"/>
  <c r="L59" i="1" s="1"/>
  <c r="H60" i="1"/>
  <c r="L60" i="1" s="1"/>
  <c r="Q76" i="1" s="1"/>
  <c r="Q78" i="1" s="1"/>
  <c r="L74" i="1"/>
  <c r="J74" i="1"/>
  <c r="L73" i="1"/>
  <c r="J73" i="1"/>
  <c r="L72" i="1"/>
  <c r="J72" i="1"/>
  <c r="L71" i="1"/>
  <c r="J71" i="1"/>
  <c r="L70" i="1"/>
  <c r="J70" i="1"/>
  <c r="L69" i="1"/>
  <c r="J69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51" i="1"/>
  <c r="J51" i="1"/>
  <c r="J48" i="1"/>
  <c r="L45" i="1"/>
  <c r="J45" i="1"/>
  <c r="L44" i="1"/>
  <c r="J44" i="1"/>
  <c r="L43" i="1"/>
  <c r="J43" i="1"/>
  <c r="L42" i="1"/>
  <c r="J42" i="1"/>
  <c r="L41" i="1"/>
  <c r="J41" i="1"/>
  <c r="L38" i="1"/>
  <c r="J38" i="1"/>
  <c r="L37" i="1"/>
  <c r="J37" i="1"/>
  <c r="L36" i="1"/>
  <c r="J36" i="1"/>
  <c r="L34" i="1"/>
  <c r="J34" i="1"/>
  <c r="L33" i="1"/>
  <c r="J33" i="1"/>
  <c r="L32" i="1"/>
  <c r="J32" i="1"/>
  <c r="L31" i="1"/>
  <c r="J31" i="1"/>
  <c r="L30" i="1"/>
  <c r="J30" i="1"/>
  <c r="L29" i="1"/>
  <c r="J29" i="1"/>
  <c r="L23" i="1"/>
  <c r="J23" i="1"/>
  <c r="L22" i="1"/>
  <c r="J22" i="1"/>
  <c r="L21" i="1"/>
  <c r="J21" i="1"/>
  <c r="J19" i="1"/>
  <c r="L18" i="1"/>
  <c r="J18" i="1"/>
  <c r="L17" i="1"/>
  <c r="J17" i="1"/>
  <c r="L16" i="1"/>
  <c r="J16" i="1"/>
  <c r="L15" i="1"/>
  <c r="J15" i="1"/>
  <c r="L14" i="1"/>
  <c r="J14" i="1"/>
  <c r="J12" i="1"/>
  <c r="L10" i="1"/>
  <c r="J10" i="1"/>
  <c r="L9" i="1"/>
  <c r="J9" i="1"/>
  <c r="J58" i="1" l="1"/>
  <c r="F65" i="1"/>
  <c r="L24" i="1"/>
  <c r="J24" i="1"/>
  <c r="D61" i="1"/>
  <c r="D62" i="1"/>
  <c r="D63" i="1"/>
  <c r="D64" i="1"/>
  <c r="D65" i="1"/>
  <c r="D66" i="1"/>
  <c r="D67" i="1"/>
  <c r="D69" i="1"/>
  <c r="D70" i="1"/>
  <c r="D71" i="1"/>
  <c r="D72" i="1"/>
  <c r="D73" i="1"/>
  <c r="D74" i="1"/>
  <c r="D75" i="1"/>
  <c r="D9" i="1"/>
  <c r="D10" i="1"/>
  <c r="D12" i="1"/>
  <c r="D14" i="1"/>
  <c r="D15" i="1"/>
  <c r="D16" i="1"/>
  <c r="D17" i="1"/>
  <c r="D18" i="1"/>
  <c r="D19" i="1"/>
  <c r="D20" i="1"/>
  <c r="D21" i="1"/>
  <c r="D22" i="1"/>
  <c r="D23" i="1"/>
  <c r="F56" i="1"/>
  <c r="B56" i="1"/>
  <c r="D29" i="1"/>
  <c r="D30" i="1"/>
  <c r="D31" i="1"/>
  <c r="D32" i="1"/>
  <c r="D33" i="1"/>
  <c r="D34" i="1"/>
  <c r="D36" i="1"/>
  <c r="D37" i="1"/>
  <c r="D38" i="1"/>
  <c r="D41" i="1"/>
  <c r="D42" i="1"/>
  <c r="D43" i="1"/>
  <c r="D44" i="1"/>
  <c r="D45" i="1"/>
  <c r="D47" i="1"/>
  <c r="D48" i="1"/>
  <c r="D49" i="1"/>
  <c r="D50" i="1"/>
  <c r="D51" i="1"/>
  <c r="D57" i="1"/>
  <c r="D58" i="1"/>
  <c r="D59" i="1"/>
  <c r="D60" i="1"/>
  <c r="D28" i="1"/>
  <c r="D7" i="1"/>
  <c r="F24" i="1"/>
  <c r="B24" i="1"/>
  <c r="H56" i="1" l="1"/>
  <c r="J49" i="1"/>
  <c r="J50" i="1"/>
  <c r="J46" i="1"/>
  <c r="J47" i="1"/>
  <c r="J59" i="1"/>
  <c r="J60" i="1"/>
  <c r="J57" i="1"/>
  <c r="F76" i="1"/>
  <c r="F78" i="1" s="1"/>
  <c r="B76" i="1"/>
  <c r="B78" i="1" s="1"/>
  <c r="D56" i="1"/>
  <c r="D24" i="1"/>
  <c r="D46" i="1"/>
  <c r="H76" i="1" l="1"/>
  <c r="H78" i="1" s="1"/>
  <c r="L56" i="1"/>
  <c r="L76" i="1" s="1"/>
  <c r="L78" i="1" s="1"/>
  <c r="J56" i="1"/>
  <c r="J76" i="1" s="1"/>
  <c r="J78" i="1" s="1"/>
  <c r="D76" i="1"/>
  <c r="D78" i="1" s="1"/>
</calcChain>
</file>

<file path=xl/sharedStrings.xml><?xml version="1.0" encoding="utf-8"?>
<sst xmlns="http://schemas.openxmlformats.org/spreadsheetml/2006/main" count="209" uniqueCount="143">
  <si>
    <t>Income</t>
  </si>
  <si>
    <t>2021-2022</t>
  </si>
  <si>
    <t>UUA Endowment</t>
  </si>
  <si>
    <t>Contributions Restricted</t>
  </si>
  <si>
    <t xml:space="preserve">Confidential Assistance </t>
  </si>
  <si>
    <t>Product Sales</t>
  </si>
  <si>
    <t>Fundraising</t>
  </si>
  <si>
    <t>Pledge Income</t>
  </si>
  <si>
    <t>Church rent</t>
  </si>
  <si>
    <t>Horse Shed Rent</t>
  </si>
  <si>
    <t>Total Income</t>
  </si>
  <si>
    <t>Expenses</t>
  </si>
  <si>
    <t>Child Care</t>
  </si>
  <si>
    <t>Products Expense</t>
  </si>
  <si>
    <t>Community Supper</t>
  </si>
  <si>
    <t xml:space="preserve">Fundraising </t>
  </si>
  <si>
    <t>Care</t>
  </si>
  <si>
    <t>Marketing</t>
  </si>
  <si>
    <t>Music</t>
  </si>
  <si>
    <t>Social Justice</t>
  </si>
  <si>
    <t>Stewardship</t>
  </si>
  <si>
    <t>Worship</t>
  </si>
  <si>
    <t>Payroll Taxes</t>
  </si>
  <si>
    <t>Employee Benefits</t>
  </si>
  <si>
    <t>Pension</t>
  </si>
  <si>
    <t>Workers Comp</t>
  </si>
  <si>
    <t>Minister &amp; Housing</t>
  </si>
  <si>
    <t>Employer FICA</t>
  </si>
  <si>
    <t>Benefits</t>
  </si>
  <si>
    <t>Retirement</t>
  </si>
  <si>
    <t>Confidential Fund</t>
  </si>
  <si>
    <t>UUA Dues</t>
  </si>
  <si>
    <t>Insurance</t>
  </si>
  <si>
    <t>Office</t>
  </si>
  <si>
    <t>Professional Fees</t>
  </si>
  <si>
    <t>Telephone/Internet</t>
  </si>
  <si>
    <t>Fuel Oil</t>
  </si>
  <si>
    <t>Misc Repairs</t>
  </si>
  <si>
    <t>Maintenance</t>
  </si>
  <si>
    <t>Real Estate Taxes</t>
  </si>
  <si>
    <t>Utilities</t>
  </si>
  <si>
    <t>Wood Pellets</t>
  </si>
  <si>
    <t>Total Expenses</t>
  </si>
  <si>
    <t>Notes</t>
  </si>
  <si>
    <t>Special Funds in our UUA CEF</t>
  </si>
  <si>
    <t>Directed Current Donations</t>
  </si>
  <si>
    <t>Professional Expenses</t>
  </si>
  <si>
    <t xml:space="preserve">Staff </t>
  </si>
  <si>
    <t>Staff</t>
  </si>
  <si>
    <t>Budget</t>
  </si>
  <si>
    <t>Surplus or (Deficit)</t>
  </si>
  <si>
    <t xml:space="preserve">Collections,Donations </t>
  </si>
  <si>
    <t>Professional, out of pocket</t>
  </si>
  <si>
    <t>Lay Train pastoral/worship</t>
  </si>
  <si>
    <t>Expenses (continued)</t>
  </si>
  <si>
    <t>Community Supper donation</t>
  </si>
  <si>
    <t>Guest Ministers</t>
  </si>
  <si>
    <t>Actual 3/31</t>
  </si>
  <si>
    <t>2022-2023</t>
  </si>
  <si>
    <t>Expect 3/31</t>
  </si>
  <si>
    <t xml:space="preserve"> </t>
  </si>
  <si>
    <t>2021-22 included Preschool business rental</t>
  </si>
  <si>
    <t>2021-22 included Increased use by preschool</t>
  </si>
  <si>
    <t xml:space="preserve">Staff Salaries </t>
  </si>
  <si>
    <t>7 Services</t>
  </si>
  <si>
    <t>Music Maint / Repairs</t>
  </si>
  <si>
    <t>Lay development/workshop</t>
  </si>
  <si>
    <t>Tech Expenses</t>
  </si>
  <si>
    <t>Equipment/Consulting/Worship Person?</t>
  </si>
  <si>
    <t>Includes bank fees</t>
  </si>
  <si>
    <t>Cmte on Shared Ministry(s)</t>
  </si>
  <si>
    <t>Initial Board</t>
  </si>
  <si>
    <t>Portion of indiv. health,disability,life</t>
  </si>
  <si>
    <t>Custodian Housing - subsidized</t>
  </si>
  <si>
    <t xml:space="preserve">2021-22 included Preschool rent </t>
  </si>
  <si>
    <t>Minister</t>
  </si>
  <si>
    <t>Minister - Increase to 3/4 time</t>
  </si>
  <si>
    <t>$20K Music Hire(s)</t>
  </si>
  <si>
    <t>Budget Hearing</t>
  </si>
  <si>
    <t>Service Fund</t>
  </si>
  <si>
    <t>Operations Fund</t>
  </si>
  <si>
    <t>Operating Fund Endowment withdrawal</t>
  </si>
  <si>
    <t>Lyceum Donation</t>
  </si>
  <si>
    <t>Was previously within "Collections,Donations"</t>
  </si>
  <si>
    <t>Collections for SJ Match</t>
  </si>
  <si>
    <t>Parsonage Sale (until 10/2026)</t>
  </si>
  <si>
    <t>→</t>
  </si>
  <si>
    <t>Service Fund Endowment withdrawal with $1K</t>
  </si>
  <si>
    <t>Exclusive of SJ Matching Plate Collection</t>
  </si>
  <si>
    <t>Draft Budget</t>
  </si>
  <si>
    <t>2023-2024</t>
  </si>
  <si>
    <t>Pledges</t>
  </si>
  <si>
    <t>Ask%</t>
  </si>
  <si>
    <t>Gross</t>
  </si>
  <si>
    <t>Compliance</t>
  </si>
  <si>
    <t>Expected</t>
  </si>
  <si>
    <t>Membership</t>
  </si>
  <si>
    <t xml:space="preserve">Community Grants </t>
  </si>
  <si>
    <t>2022/2023</t>
  </si>
  <si>
    <t>2023/2024</t>
  </si>
  <si>
    <t>Increase</t>
  </si>
  <si>
    <t>Total</t>
  </si>
  <si>
    <t>Lane</t>
  </si>
  <si>
    <t>Staff Salaries for Budget</t>
  </si>
  <si>
    <t>Salary</t>
  </si>
  <si>
    <t>Housing</t>
  </si>
  <si>
    <t>Lucinda</t>
  </si>
  <si>
    <t>Vanessa</t>
  </si>
  <si>
    <t>Paul</t>
  </si>
  <si>
    <t>FICA</t>
  </si>
  <si>
    <t>Prof. Dev.</t>
  </si>
  <si>
    <t xml:space="preserve">Salary </t>
  </si>
  <si>
    <t xml:space="preserve">Cost of increase </t>
  </si>
  <si>
    <t>Actual</t>
  </si>
  <si>
    <t>Actual to</t>
  </si>
  <si>
    <t>Social Justice Fund Match</t>
  </si>
  <si>
    <t>to 4/30/2023</t>
  </si>
  <si>
    <t>4% Increase for staff</t>
  </si>
  <si>
    <t>4% Increase for Minister</t>
  </si>
  <si>
    <t xml:space="preserve">Actual YTD includes $10K donation for Sound tech </t>
  </si>
  <si>
    <t xml:space="preserve">Proposed Draft Budget for FY 2023-2024 </t>
  </si>
  <si>
    <t>Peterborough Unitarian Universalist Church</t>
  </si>
  <si>
    <t>Carll House Rent</t>
  </si>
  <si>
    <t>Mortgage receipts end November 2028</t>
  </si>
  <si>
    <t>Actual pledges to date. (This  year $129,020)</t>
  </si>
  <si>
    <t>Mortgage receipts</t>
  </si>
  <si>
    <t>Guest Musicians</t>
  </si>
  <si>
    <t>Raffle net $12.5K (875 tickets), Auction $6,500 Holiday Stroll $1K</t>
  </si>
  <si>
    <t>Rachel Billings gift to fund life span faith development</t>
  </si>
  <si>
    <t>Advertising</t>
  </si>
  <si>
    <t>Guest Minister Fees</t>
  </si>
  <si>
    <t>Earth based celebration</t>
  </si>
  <si>
    <t>$50 per celebration</t>
  </si>
  <si>
    <t>This year includes $4,900 in roof leak repairs</t>
  </si>
  <si>
    <t>Lifespan Faith Devlopment</t>
  </si>
  <si>
    <t>UUA Consultant</t>
  </si>
  <si>
    <t>Music Director Prof. Devt</t>
  </si>
  <si>
    <t xml:space="preserve"> 10% of salary</t>
  </si>
  <si>
    <t>$400  NH UU action Network &amp; letter writing</t>
  </si>
  <si>
    <t>Non-property repairs</t>
  </si>
  <si>
    <t>Paid as needed from restricted Tech Donation</t>
  </si>
  <si>
    <t>Admin Prof. Devt</t>
  </si>
  <si>
    <t>DRE Prof. Devt.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</si>
</sst>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1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 Narrow"/>
      <family val="2"/>
    </font>
    <font>
      <b/>
      <sz val="11"/>
      <name val="Calibri"/>
      <family val="2"/>
    </font>
    <font>
      <b/>
      <i/>
      <sz val="11"/>
      <name val="Arial"/>
      <family val="2"/>
    </font>
    <font>
      <sz val="11"/>
      <color theme="4" tint="-0.249977111117893"/>
      <name val="Arial Narrow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42" fontId="1" fillId="0" borderId="0" xfId="0" applyNumberFormat="1" applyFont="1" applyFill="1" applyAlignment="1"/>
    <xf numFmtId="42" fontId="1" fillId="0" borderId="0" xfId="0" applyNumberFormat="1" applyFont="1" applyFill="1" applyAlignment="1">
      <alignment horizontal="center"/>
    </xf>
    <xf numFmtId="0" fontId="1" fillId="0" borderId="0" xfId="0" applyFont="1" applyFill="1"/>
    <xf numFmtId="42" fontId="1" fillId="0" borderId="0" xfId="0" applyNumberFormat="1" applyFont="1" applyFill="1"/>
    <xf numFmtId="42" fontId="2" fillId="0" borderId="0" xfId="0" applyNumberFormat="1" applyFont="1" applyFill="1" applyAlignment="1">
      <alignment horizontal="center"/>
    </xf>
    <xf numFmtId="0" fontId="2" fillId="0" borderId="0" xfId="0" applyFont="1" applyFill="1"/>
    <xf numFmtId="42" fontId="2" fillId="0" borderId="1" xfId="0" applyNumberFormat="1" applyFont="1" applyFill="1" applyBorder="1"/>
    <xf numFmtId="42" fontId="2" fillId="0" borderId="1" xfId="0" applyNumberFormat="1" applyFont="1" applyFill="1" applyBorder="1" applyAlignment="1">
      <alignment horizontal="center"/>
    </xf>
    <xf numFmtId="42" fontId="3" fillId="0" borderId="0" xfId="0" applyNumberFormat="1" applyFont="1" applyFill="1" applyAlignment="1">
      <alignment horizontal="center"/>
    </xf>
    <xf numFmtId="42" fontId="4" fillId="0" borderId="0" xfId="0" applyNumberFormat="1" applyFont="1" applyFill="1"/>
    <xf numFmtId="42" fontId="1" fillId="0" borderId="2" xfId="0" applyNumberFormat="1" applyFont="1" applyFill="1" applyBorder="1"/>
    <xf numFmtId="42" fontId="2" fillId="0" borderId="0" xfId="0" applyNumberFormat="1" applyFont="1" applyFill="1"/>
    <xf numFmtId="42" fontId="2" fillId="0" borderId="0" xfId="0" applyNumberFormat="1" applyFont="1" applyFill="1" applyBorder="1"/>
    <xf numFmtId="42" fontId="1" fillId="0" borderId="0" xfId="0" applyNumberFormat="1" applyFont="1" applyFill="1" applyBorder="1"/>
    <xf numFmtId="164" fontId="4" fillId="0" borderId="0" xfId="0" applyNumberFormat="1" applyFont="1" applyFill="1"/>
    <xf numFmtId="14" fontId="2" fillId="0" borderId="0" xfId="0" applyNumberFormat="1" applyFont="1" applyFill="1" applyAlignment="1">
      <alignment horizontal="center"/>
    </xf>
    <xf numFmtId="0" fontId="2" fillId="0" borderId="1" xfId="0" applyFont="1" applyFill="1" applyBorder="1"/>
    <xf numFmtId="0" fontId="6" fillId="0" borderId="0" xfId="0" applyFont="1" applyFill="1" applyAlignment="1">
      <alignment horizontal="right"/>
    </xf>
    <xf numFmtId="42" fontId="6" fillId="0" borderId="0" xfId="0" applyNumberFormat="1" applyFont="1" applyFill="1"/>
    <xf numFmtId="42" fontId="6" fillId="0" borderId="0" xfId="0" applyNumberFormat="1" applyFont="1" applyFill="1" applyAlignment="1">
      <alignment horizontal="center"/>
    </xf>
    <xf numFmtId="0" fontId="4" fillId="0" borderId="0" xfId="0" applyFont="1" applyFill="1"/>
    <xf numFmtId="42" fontId="7" fillId="0" borderId="0" xfId="0" applyNumberFormat="1" applyFont="1" applyFill="1" applyBorder="1"/>
    <xf numFmtId="42" fontId="2" fillId="0" borderId="0" xfId="0" applyNumberFormat="1" applyFont="1" applyFill="1" applyAlignment="1"/>
    <xf numFmtId="9" fontId="1" fillId="0" borderId="0" xfId="0" applyNumberFormat="1" applyFont="1" applyFill="1"/>
    <xf numFmtId="3" fontId="1" fillId="0" borderId="0" xfId="0" applyNumberFormat="1" applyFont="1" applyFill="1"/>
    <xf numFmtId="44" fontId="1" fillId="0" borderId="0" xfId="1" applyFont="1" applyFill="1"/>
    <xf numFmtId="0" fontId="1" fillId="0" borderId="0" xfId="0" applyFont="1" applyFill="1" applyBorder="1"/>
    <xf numFmtId="0" fontId="7" fillId="0" borderId="0" xfId="0" applyFont="1" applyFill="1" applyBorder="1"/>
    <xf numFmtId="42" fontId="2" fillId="0" borderId="3" xfId="0" applyNumberFormat="1" applyFont="1" applyFill="1" applyBorder="1" applyAlignment="1">
      <alignment horizontal="center"/>
    </xf>
    <xf numFmtId="42" fontId="5" fillId="0" borderId="0" xfId="0" applyNumberFormat="1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indent="1"/>
    </xf>
    <xf numFmtId="42" fontId="9" fillId="0" borderId="0" xfId="0" applyNumberFormat="1" applyFont="1"/>
    <xf numFmtId="0" fontId="10" fillId="0" borderId="0" xfId="0" applyFont="1" applyAlignment="1">
      <alignment horizontal="center"/>
    </xf>
    <xf numFmtId="42" fontId="10" fillId="0" borderId="0" xfId="0" applyNumberFormat="1" applyFont="1"/>
    <xf numFmtId="0" fontId="2" fillId="0" borderId="0" xfId="0" applyFont="1" applyFill="1" applyAlignment="1">
      <alignment horizontal="center"/>
    </xf>
    <xf numFmtId="42" fontId="3" fillId="0" borderId="0" xfId="0" applyNumberFormat="1" applyFont="1" applyFill="1" applyAlignment="1">
      <alignment horizontal="center"/>
    </xf>
    <xf numFmtId="42" fontId="5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tabSelected="1" topLeftCell="A31" zoomScale="150" zoomScaleNormal="150" workbookViewId="0">
      <selection activeCell="A45" sqref="A45"/>
    </sheetView>
  </sheetViews>
  <sheetFormatPr baseColWidth="10" defaultColWidth="8.83203125" defaultRowHeight="14" x14ac:dyDescent="0.15"/>
  <cols>
    <col min="1" max="1" width="24.5" style="3" customWidth="1"/>
    <col min="2" max="2" width="11.6640625" style="4" hidden="1" customWidth="1"/>
    <col min="3" max="3" width="2.6640625" style="4" hidden="1" customWidth="1"/>
    <col min="4" max="4" width="11.6640625" style="4" hidden="1" customWidth="1"/>
    <col min="5" max="5" width="2.6640625" style="4" hidden="1" customWidth="1"/>
    <col min="6" max="6" width="11.6640625" style="4" hidden="1" customWidth="1"/>
    <col min="7" max="7" width="8.6640625" style="2" hidden="1" customWidth="1"/>
    <col min="8" max="8" width="11.6640625" style="4" hidden="1" customWidth="1"/>
    <col min="9" max="9" width="2.6640625" style="2" hidden="1" customWidth="1"/>
    <col min="10" max="10" width="13.33203125" style="4" hidden="1" customWidth="1"/>
    <col min="11" max="11" width="5.6640625" style="2" hidden="1" customWidth="1"/>
    <col min="12" max="12" width="11.6640625" style="4" customWidth="1"/>
    <col min="13" max="13" width="2.6640625" style="2" customWidth="1"/>
    <col min="14" max="14" width="11.6640625" style="4" hidden="1" customWidth="1"/>
    <col min="15" max="15" width="11.6640625" style="4" customWidth="1"/>
    <col min="16" max="16" width="3.83203125" style="4" customWidth="1"/>
    <col min="17" max="17" width="12.83203125" style="4" bestFit="1" customWidth="1"/>
    <col min="18" max="18" width="2" style="4" customWidth="1"/>
    <col min="19" max="16384" width="8.83203125" style="3"/>
  </cols>
  <sheetData>
    <row r="1" spans="1:19" ht="13.75" customHeight="1" x14ac:dyDescent="0.15">
      <c r="A1" s="40" t="s">
        <v>121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ht="16" customHeight="1" x14ac:dyDescent="0.2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/>
      <c r="O2" s="1"/>
      <c r="P2" s="1"/>
      <c r="Q2" s="1"/>
      <c r="R2" s="1"/>
    </row>
    <row r="3" spans="1:19" ht="14" customHeight="1" x14ac:dyDescent="0.15">
      <c r="A3" s="40" t="s">
        <v>120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9" ht="14" customHeight="1" x14ac:dyDescent="0.2">
      <c r="B4" s="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  <c r="O4" s="1"/>
      <c r="P4" s="1"/>
      <c r="Q4" s="1"/>
      <c r="R4" s="1"/>
    </row>
    <row r="5" spans="1:19" ht="14" customHeight="1" x14ac:dyDescent="0.15">
      <c r="B5" s="5" t="s">
        <v>49</v>
      </c>
      <c r="C5" s="5"/>
      <c r="D5" s="5" t="s">
        <v>59</v>
      </c>
      <c r="E5" s="5"/>
      <c r="F5" s="5" t="s">
        <v>57</v>
      </c>
      <c r="G5" s="5"/>
      <c r="H5" s="16" t="s">
        <v>71</v>
      </c>
      <c r="I5" s="5"/>
      <c r="J5" s="5" t="s">
        <v>78</v>
      </c>
      <c r="L5" s="5" t="s">
        <v>49</v>
      </c>
      <c r="O5" s="5" t="s">
        <v>114</v>
      </c>
      <c r="Q5" s="23" t="s">
        <v>89</v>
      </c>
      <c r="R5" s="1"/>
    </row>
    <row r="6" spans="1:19" ht="14" customHeight="1" thickBot="1" x14ac:dyDescent="0.2">
      <c r="A6" s="17" t="s">
        <v>0</v>
      </c>
      <c r="B6" s="7" t="s">
        <v>1</v>
      </c>
      <c r="D6" s="8" t="s">
        <v>1</v>
      </c>
      <c r="F6" s="8" t="s">
        <v>1</v>
      </c>
      <c r="H6" s="8" t="s">
        <v>58</v>
      </c>
      <c r="J6" s="8" t="s">
        <v>58</v>
      </c>
      <c r="L6" s="8" t="s">
        <v>58</v>
      </c>
      <c r="N6" s="7" t="s">
        <v>43</v>
      </c>
      <c r="O6" s="31">
        <v>45046</v>
      </c>
      <c r="P6" s="13"/>
      <c r="Q6" s="29" t="s">
        <v>90</v>
      </c>
      <c r="R6"/>
    </row>
    <row r="7" spans="1:19" ht="14" customHeight="1" x14ac:dyDescent="0.2">
      <c r="A7" s="3" t="s">
        <v>80</v>
      </c>
      <c r="B7" s="4">
        <v>20000</v>
      </c>
      <c r="D7" s="4">
        <f>B7*0.75</f>
        <v>15000</v>
      </c>
      <c r="F7" s="4">
        <v>0</v>
      </c>
      <c r="G7" s="9"/>
      <c r="H7" s="4">
        <v>0</v>
      </c>
      <c r="I7" s="9"/>
      <c r="J7" s="4">
        <f>5000+734</f>
        <v>5734</v>
      </c>
      <c r="K7" s="9" t="s">
        <v>86</v>
      </c>
      <c r="L7" s="4">
        <v>4313</v>
      </c>
      <c r="M7" s="9"/>
      <c r="N7" s="10" t="s">
        <v>81</v>
      </c>
      <c r="Q7" s="4">
        <v>2000</v>
      </c>
      <c r="S7" s="3" t="s">
        <v>128</v>
      </c>
    </row>
    <row r="8" spans="1:19" ht="14" customHeight="1" x14ac:dyDescent="0.2">
      <c r="A8" s="3" t="s">
        <v>79</v>
      </c>
      <c r="G8" s="9"/>
      <c r="I8" s="9"/>
      <c r="K8" s="9" t="s">
        <v>86</v>
      </c>
      <c r="L8" s="4">
        <v>6000</v>
      </c>
      <c r="M8" s="9"/>
      <c r="N8" s="10" t="s">
        <v>87</v>
      </c>
      <c r="O8" s="4">
        <v>5180</v>
      </c>
      <c r="Q8" s="4">
        <v>5000</v>
      </c>
    </row>
    <row r="9" spans="1:19" ht="14" customHeight="1" x14ac:dyDescent="0.15">
      <c r="A9" s="3" t="s">
        <v>2</v>
      </c>
      <c r="B9" s="4">
        <v>1500</v>
      </c>
      <c r="D9" s="4">
        <f t="shared" ref="D9:D23" si="0">B9*0.75</f>
        <v>1125</v>
      </c>
      <c r="F9" s="4">
        <v>1529</v>
      </c>
      <c r="H9" s="4">
        <v>1529</v>
      </c>
      <c r="J9" s="4">
        <f t="shared" ref="J9:J19" si="1">H9</f>
        <v>1529</v>
      </c>
      <c r="L9" s="4">
        <f t="shared" ref="L9:L18" si="2">H9</f>
        <v>1529</v>
      </c>
      <c r="N9" s="10" t="s">
        <v>44</v>
      </c>
      <c r="O9" s="4">
        <v>1590</v>
      </c>
      <c r="Q9" s="4">
        <v>1530</v>
      </c>
    </row>
    <row r="10" spans="1:19" ht="14" customHeight="1" x14ac:dyDescent="0.15">
      <c r="A10" s="3" t="s">
        <v>3</v>
      </c>
      <c r="B10" s="4">
        <v>500</v>
      </c>
      <c r="D10" s="4">
        <f t="shared" si="0"/>
        <v>375</v>
      </c>
      <c r="F10" s="4">
        <v>0</v>
      </c>
      <c r="H10" s="4">
        <v>0</v>
      </c>
      <c r="J10" s="4">
        <f t="shared" si="1"/>
        <v>0</v>
      </c>
      <c r="L10" s="4">
        <f t="shared" si="2"/>
        <v>0</v>
      </c>
      <c r="N10" s="10" t="s">
        <v>45</v>
      </c>
    </row>
    <row r="11" spans="1:19" ht="14" customHeight="1" x14ac:dyDescent="0.2">
      <c r="A11" s="3" t="s">
        <v>82</v>
      </c>
      <c r="K11" s="9" t="s">
        <v>86</v>
      </c>
      <c r="L11" s="4">
        <v>2200</v>
      </c>
      <c r="N11" s="10" t="s">
        <v>83</v>
      </c>
      <c r="O11" s="4">
        <v>2200</v>
      </c>
      <c r="Q11" s="4">
        <v>2200</v>
      </c>
    </row>
    <row r="12" spans="1:19" ht="14" customHeight="1" x14ac:dyDescent="0.2">
      <c r="A12" s="3" t="s">
        <v>51</v>
      </c>
      <c r="B12" s="4">
        <v>9000</v>
      </c>
      <c r="D12" s="4">
        <f t="shared" si="0"/>
        <v>6750</v>
      </c>
      <c r="F12" s="4">
        <v>11562</v>
      </c>
      <c r="H12" s="4">
        <v>11500</v>
      </c>
      <c r="J12" s="4">
        <f t="shared" si="1"/>
        <v>11500</v>
      </c>
      <c r="K12" s="9" t="s">
        <v>86</v>
      </c>
      <c r="L12" s="4">
        <v>7000</v>
      </c>
      <c r="N12" s="10" t="s">
        <v>88</v>
      </c>
      <c r="O12" s="4">
        <f>20466+34</f>
        <v>20500</v>
      </c>
      <c r="Q12" s="4">
        <v>5000</v>
      </c>
      <c r="S12" s="3" t="s">
        <v>119</v>
      </c>
    </row>
    <row r="13" spans="1:19" ht="14" customHeight="1" x14ac:dyDescent="0.2">
      <c r="A13" s="3" t="s">
        <v>84</v>
      </c>
      <c r="K13" s="9" t="s">
        <v>86</v>
      </c>
      <c r="L13" s="4">
        <v>5000</v>
      </c>
      <c r="N13" s="10"/>
      <c r="Q13" s="4">
        <v>5000</v>
      </c>
    </row>
    <row r="14" spans="1:19" ht="14" customHeight="1" x14ac:dyDescent="0.15">
      <c r="A14" s="3" t="s">
        <v>4</v>
      </c>
      <c r="B14" s="4">
        <v>500</v>
      </c>
      <c r="D14" s="4">
        <f t="shared" si="0"/>
        <v>375</v>
      </c>
      <c r="F14" s="4">
        <v>1271</v>
      </c>
      <c r="H14" s="4">
        <v>500</v>
      </c>
      <c r="J14" s="4">
        <f t="shared" si="1"/>
        <v>500</v>
      </c>
      <c r="L14" s="4">
        <f t="shared" si="2"/>
        <v>500</v>
      </c>
      <c r="N14" s="10"/>
      <c r="O14" s="4">
        <v>959</v>
      </c>
      <c r="Q14" s="4">
        <v>500</v>
      </c>
    </row>
    <row r="15" spans="1:19" ht="14" customHeight="1" x14ac:dyDescent="0.15">
      <c r="A15" s="3" t="s">
        <v>55</v>
      </c>
      <c r="B15" s="4">
        <v>1500</v>
      </c>
      <c r="D15" s="4">
        <f t="shared" si="0"/>
        <v>1125</v>
      </c>
      <c r="F15" s="4">
        <v>846</v>
      </c>
      <c r="H15" s="4">
        <v>1500</v>
      </c>
      <c r="J15" s="4">
        <f t="shared" si="1"/>
        <v>1500</v>
      </c>
      <c r="L15" s="4">
        <f t="shared" si="2"/>
        <v>1500</v>
      </c>
      <c r="N15" s="10"/>
      <c r="Q15" s="4">
        <v>2000</v>
      </c>
    </row>
    <row r="16" spans="1:19" ht="14" customHeight="1" x14ac:dyDescent="0.15">
      <c r="A16" s="3" t="s">
        <v>97</v>
      </c>
      <c r="B16" s="4">
        <v>500</v>
      </c>
      <c r="D16" s="4">
        <f t="shared" si="0"/>
        <v>375</v>
      </c>
      <c r="F16" s="4">
        <v>0</v>
      </c>
      <c r="H16" s="4">
        <v>1000</v>
      </c>
      <c r="J16" s="4">
        <f t="shared" si="1"/>
        <v>1000</v>
      </c>
      <c r="L16" s="4">
        <f t="shared" si="2"/>
        <v>1000</v>
      </c>
      <c r="N16" s="10"/>
      <c r="O16" s="4">
        <v>300</v>
      </c>
      <c r="Q16" s="4">
        <v>3000</v>
      </c>
    </row>
    <row r="17" spans="1:19" ht="14" customHeight="1" x14ac:dyDescent="0.15">
      <c r="A17" s="3" t="s">
        <v>5</v>
      </c>
      <c r="B17" s="4">
        <v>500</v>
      </c>
      <c r="D17" s="4">
        <f t="shared" si="0"/>
        <v>375</v>
      </c>
      <c r="F17" s="4">
        <v>5</v>
      </c>
      <c r="H17" s="4">
        <v>0</v>
      </c>
      <c r="J17" s="4">
        <f t="shared" si="1"/>
        <v>0</v>
      </c>
      <c r="L17" s="4">
        <f t="shared" si="2"/>
        <v>0</v>
      </c>
      <c r="N17" s="10"/>
      <c r="O17" s="4">
        <v>248</v>
      </c>
    </row>
    <row r="18" spans="1:19" ht="14" customHeight="1" x14ac:dyDescent="0.2">
      <c r="A18" s="3" t="s">
        <v>6</v>
      </c>
      <c r="B18" s="4">
        <v>12000</v>
      </c>
      <c r="D18" s="4">
        <f t="shared" si="0"/>
        <v>9000</v>
      </c>
      <c r="F18" s="4">
        <v>4122</v>
      </c>
      <c r="G18" s="9"/>
      <c r="H18" s="4">
        <v>12000</v>
      </c>
      <c r="I18" s="9"/>
      <c r="J18" s="4">
        <f t="shared" si="1"/>
        <v>12000</v>
      </c>
      <c r="K18" s="9"/>
      <c r="L18" s="4">
        <f t="shared" si="2"/>
        <v>12000</v>
      </c>
      <c r="M18" s="9"/>
      <c r="N18" s="10"/>
      <c r="O18" s="4">
        <v>20968</v>
      </c>
      <c r="Q18" s="4">
        <v>20000</v>
      </c>
      <c r="S18" s="3" t="s">
        <v>127</v>
      </c>
    </row>
    <row r="19" spans="1:19" ht="14" customHeight="1" x14ac:dyDescent="0.15">
      <c r="A19" s="3" t="s">
        <v>125</v>
      </c>
      <c r="B19" s="4">
        <v>7658</v>
      </c>
      <c r="D19" s="4">
        <f t="shared" si="0"/>
        <v>5743.5</v>
      </c>
      <c r="F19" s="4">
        <v>6371</v>
      </c>
      <c r="H19" s="4">
        <v>7658</v>
      </c>
      <c r="J19" s="4">
        <f t="shared" si="1"/>
        <v>7658</v>
      </c>
      <c r="L19" s="4">
        <f>7658+4267</f>
        <v>11925</v>
      </c>
      <c r="N19" s="10" t="s">
        <v>85</v>
      </c>
      <c r="O19" s="4">
        <f>7459+2557</f>
        <v>10016</v>
      </c>
      <c r="Q19" s="4">
        <f>7658+4267</f>
        <v>11925</v>
      </c>
      <c r="S19" s="3" t="s">
        <v>123</v>
      </c>
    </row>
    <row r="20" spans="1:19" ht="14" customHeight="1" x14ac:dyDescent="0.2">
      <c r="A20" s="3" t="s">
        <v>7</v>
      </c>
      <c r="B20" s="4">
        <v>115000</v>
      </c>
      <c r="D20" s="4">
        <f t="shared" si="0"/>
        <v>86250</v>
      </c>
      <c r="F20" s="4">
        <v>95248</v>
      </c>
      <c r="G20" s="9"/>
      <c r="H20" s="4">
        <v>120850</v>
      </c>
      <c r="I20" s="9"/>
      <c r="J20" s="4">
        <v>125000</v>
      </c>
      <c r="K20" s="9" t="s">
        <v>86</v>
      </c>
      <c r="L20" s="4">
        <v>128721</v>
      </c>
      <c r="M20" s="9"/>
      <c r="N20" s="10"/>
      <c r="O20" s="4">
        <v>107919</v>
      </c>
      <c r="Q20" s="4">
        <v>140231</v>
      </c>
      <c r="S20" s="3" t="s">
        <v>124</v>
      </c>
    </row>
    <row r="21" spans="1:19" ht="14" customHeight="1" x14ac:dyDescent="0.15">
      <c r="A21" s="3" t="s">
        <v>122</v>
      </c>
      <c r="B21" s="4">
        <v>8820</v>
      </c>
      <c r="D21" s="4">
        <f t="shared" si="0"/>
        <v>6615</v>
      </c>
      <c r="F21" s="4">
        <v>6615</v>
      </c>
      <c r="H21" s="4">
        <v>8820</v>
      </c>
      <c r="J21" s="4">
        <f>H21</f>
        <v>8820</v>
      </c>
      <c r="L21" s="4">
        <f>H21</f>
        <v>8820</v>
      </c>
      <c r="N21" s="10" t="s">
        <v>73</v>
      </c>
      <c r="O21" s="4">
        <v>6615</v>
      </c>
      <c r="Q21" s="4">
        <v>8820</v>
      </c>
    </row>
    <row r="22" spans="1:19" ht="14" customHeight="1" x14ac:dyDescent="0.15">
      <c r="A22" s="3" t="s">
        <v>8</v>
      </c>
      <c r="B22" s="4">
        <v>23328</v>
      </c>
      <c r="D22" s="4">
        <f t="shared" si="0"/>
        <v>17496</v>
      </c>
      <c r="F22" s="4">
        <v>4395</v>
      </c>
      <c r="H22" s="4">
        <v>8000</v>
      </c>
      <c r="J22" s="4">
        <f>H22</f>
        <v>8000</v>
      </c>
      <c r="L22" s="4">
        <f>H22</f>
        <v>8000</v>
      </c>
      <c r="N22" s="10" t="s">
        <v>74</v>
      </c>
      <c r="O22" s="4">
        <v>7800</v>
      </c>
      <c r="Q22" s="4">
        <v>8000</v>
      </c>
    </row>
    <row r="23" spans="1:19" ht="14" customHeight="1" thickBot="1" x14ac:dyDescent="0.2">
      <c r="A23" s="3" t="s">
        <v>9</v>
      </c>
      <c r="B23" s="11">
        <v>14820</v>
      </c>
      <c r="D23" s="11">
        <f t="shared" si="0"/>
        <v>11115</v>
      </c>
      <c r="F23" s="11">
        <v>11170</v>
      </c>
      <c r="H23" s="11">
        <v>14820</v>
      </c>
      <c r="J23" s="11">
        <f>H23</f>
        <v>14820</v>
      </c>
      <c r="L23" s="11">
        <f>H23</f>
        <v>14820</v>
      </c>
      <c r="N23" s="10"/>
      <c r="O23" s="11">
        <v>13170</v>
      </c>
      <c r="P23"/>
      <c r="Q23" s="11">
        <v>14820</v>
      </c>
    </row>
    <row r="24" spans="1:19" ht="14" customHeight="1" thickTop="1" x14ac:dyDescent="0.15">
      <c r="A24" s="6" t="s">
        <v>10</v>
      </c>
      <c r="B24" s="12">
        <f>SUM(B7:B23)</f>
        <v>215626</v>
      </c>
      <c r="D24" s="12">
        <f>SUM(D7:D23)</f>
        <v>161719.5</v>
      </c>
      <c r="F24" s="12">
        <f>SUM(F7:F23)</f>
        <v>143134</v>
      </c>
      <c r="H24" s="12">
        <f>SUM(H7:H23)</f>
        <v>188177</v>
      </c>
      <c r="J24" s="12">
        <f>SUM(J7:J23)</f>
        <v>198061</v>
      </c>
      <c r="L24" s="12">
        <f>SUM(L7:L23)</f>
        <v>213328</v>
      </c>
      <c r="N24" s="10"/>
      <c r="O24" s="12">
        <f>SUM(O7:O23)</f>
        <v>197465</v>
      </c>
      <c r="Q24" s="12">
        <f>SUM(Q7:Q23)</f>
        <v>230026</v>
      </c>
    </row>
    <row r="25" spans="1:19" ht="14" customHeight="1" x14ac:dyDescent="0.15">
      <c r="B25" s="12"/>
      <c r="F25" s="12"/>
      <c r="H25" s="12"/>
      <c r="J25" s="12"/>
      <c r="L25" s="12"/>
      <c r="N25" s="10"/>
    </row>
    <row r="26" spans="1:19" ht="14" customHeight="1" x14ac:dyDescent="0.15">
      <c r="B26" s="5" t="s">
        <v>49</v>
      </c>
      <c r="C26" s="5"/>
      <c r="D26" s="5" t="s">
        <v>59</v>
      </c>
      <c r="E26" s="5"/>
      <c r="F26" s="5" t="s">
        <v>57</v>
      </c>
      <c r="G26" s="5"/>
      <c r="H26" s="16" t="s">
        <v>71</v>
      </c>
      <c r="I26" s="5"/>
      <c r="J26" s="5" t="s">
        <v>78</v>
      </c>
      <c r="L26" s="5" t="s">
        <v>49</v>
      </c>
      <c r="O26" s="5" t="s">
        <v>113</v>
      </c>
      <c r="Q26" s="23" t="s">
        <v>89</v>
      </c>
    </row>
    <row r="27" spans="1:19" ht="14" customHeight="1" thickBot="1" x14ac:dyDescent="0.2">
      <c r="A27" s="17" t="s">
        <v>11</v>
      </c>
      <c r="B27" s="7" t="s">
        <v>1</v>
      </c>
      <c r="D27" s="8" t="s">
        <v>1</v>
      </c>
      <c r="F27" s="8" t="s">
        <v>1</v>
      </c>
      <c r="H27" s="8" t="s">
        <v>58</v>
      </c>
      <c r="J27" s="8" t="s">
        <v>58</v>
      </c>
      <c r="L27" s="8" t="s">
        <v>58</v>
      </c>
      <c r="N27" s="7" t="s">
        <v>43</v>
      </c>
      <c r="O27" s="7" t="s">
        <v>116</v>
      </c>
      <c r="P27" s="13"/>
      <c r="Q27" s="29" t="s">
        <v>90</v>
      </c>
    </row>
    <row r="28" spans="1:19" ht="14" customHeight="1" x14ac:dyDescent="0.2">
      <c r="A28" s="3" t="s">
        <v>12</v>
      </c>
      <c r="B28" s="4">
        <v>500</v>
      </c>
      <c r="D28" s="4">
        <f>B28*0.75</f>
        <v>375</v>
      </c>
      <c r="F28" s="4">
        <v>0</v>
      </c>
      <c r="G28" s="9"/>
      <c r="H28" s="4">
        <v>2500</v>
      </c>
      <c r="I28" s="9"/>
      <c r="J28" s="4">
        <v>2000</v>
      </c>
      <c r="K28" s="9"/>
      <c r="L28" s="4">
        <v>2000</v>
      </c>
      <c r="M28" s="9"/>
      <c r="N28" s="10" t="s">
        <v>60</v>
      </c>
    </row>
    <row r="29" spans="1:19" ht="14" customHeight="1" x14ac:dyDescent="0.15">
      <c r="A29" s="3" t="s">
        <v>13</v>
      </c>
      <c r="B29" s="4">
        <v>500</v>
      </c>
      <c r="D29" s="4">
        <f t="shared" ref="D29:D60" si="3">B29*0.75</f>
        <v>375</v>
      </c>
      <c r="F29" s="4">
        <v>0</v>
      </c>
      <c r="H29" s="4">
        <v>0</v>
      </c>
      <c r="J29" s="4">
        <f t="shared" ref="J29:J38" si="4">H29</f>
        <v>0</v>
      </c>
      <c r="L29" s="4">
        <f t="shared" ref="L29:L38" si="5">H29</f>
        <v>0</v>
      </c>
      <c r="N29" s="10"/>
      <c r="O29" s="4">
        <v>392</v>
      </c>
    </row>
    <row r="30" spans="1:19" ht="14" customHeight="1" x14ac:dyDescent="0.15">
      <c r="A30" s="3" t="s">
        <v>14</v>
      </c>
      <c r="B30" s="4">
        <v>1000</v>
      </c>
      <c r="D30" s="4">
        <f t="shared" si="3"/>
        <v>750</v>
      </c>
      <c r="F30" s="4">
        <v>0</v>
      </c>
      <c r="H30" s="4">
        <v>1000</v>
      </c>
      <c r="J30" s="4">
        <f t="shared" si="4"/>
        <v>1000</v>
      </c>
      <c r="L30" s="4">
        <f t="shared" si="5"/>
        <v>1000</v>
      </c>
      <c r="N30" s="10"/>
      <c r="Q30" s="4">
        <v>5000</v>
      </c>
    </row>
    <row r="31" spans="1:19" ht="14" customHeight="1" x14ac:dyDescent="0.15">
      <c r="A31" s="3" t="s">
        <v>15</v>
      </c>
      <c r="B31" s="4">
        <v>500</v>
      </c>
      <c r="D31" s="4">
        <f t="shared" si="3"/>
        <v>375</v>
      </c>
      <c r="F31" s="4">
        <v>732</v>
      </c>
      <c r="H31" s="4">
        <v>750</v>
      </c>
      <c r="J31" s="4">
        <f t="shared" si="4"/>
        <v>750</v>
      </c>
      <c r="L31" s="4">
        <f t="shared" si="5"/>
        <v>750</v>
      </c>
      <c r="N31" s="10"/>
      <c r="O31" s="4">
        <v>2631</v>
      </c>
      <c r="Q31" s="4">
        <v>300</v>
      </c>
    </row>
    <row r="32" spans="1:19" ht="14" customHeight="1" x14ac:dyDescent="0.15">
      <c r="A32" s="3" t="s">
        <v>66</v>
      </c>
      <c r="B32" s="4">
        <v>0</v>
      </c>
      <c r="D32" s="4">
        <f t="shared" si="3"/>
        <v>0</v>
      </c>
      <c r="F32" s="4">
        <v>0</v>
      </c>
      <c r="H32" s="4">
        <v>500</v>
      </c>
      <c r="J32" s="4">
        <f t="shared" si="4"/>
        <v>500</v>
      </c>
      <c r="L32" s="4">
        <f t="shared" si="5"/>
        <v>500</v>
      </c>
      <c r="N32" s="10"/>
      <c r="O32" s="4">
        <v>30</v>
      </c>
    </row>
    <row r="33" spans="1:20" ht="14" customHeight="1" x14ac:dyDescent="0.2">
      <c r="A33" s="3" t="s">
        <v>16</v>
      </c>
      <c r="B33" s="4">
        <v>100</v>
      </c>
      <c r="D33" s="4">
        <f t="shared" si="3"/>
        <v>75</v>
      </c>
      <c r="F33" s="4">
        <v>0</v>
      </c>
      <c r="G33" s="9"/>
      <c r="H33" s="4">
        <v>50</v>
      </c>
      <c r="I33" s="9"/>
      <c r="J33" s="4">
        <f t="shared" si="4"/>
        <v>50</v>
      </c>
      <c r="K33" s="9"/>
      <c r="L33" s="4">
        <f t="shared" si="5"/>
        <v>50</v>
      </c>
      <c r="M33" s="9"/>
      <c r="N33" s="10"/>
      <c r="Q33" s="4">
        <v>50</v>
      </c>
    </row>
    <row r="34" spans="1:20" ht="14" customHeight="1" x14ac:dyDescent="0.15">
      <c r="A34" s="3" t="s">
        <v>17</v>
      </c>
      <c r="B34" s="4">
        <v>600</v>
      </c>
      <c r="D34" s="4">
        <f t="shared" si="3"/>
        <v>450</v>
      </c>
      <c r="F34" s="4">
        <v>110</v>
      </c>
      <c r="H34" s="4">
        <v>600</v>
      </c>
      <c r="J34" s="4">
        <f t="shared" si="4"/>
        <v>600</v>
      </c>
      <c r="L34" s="4">
        <f t="shared" si="5"/>
        <v>600</v>
      </c>
      <c r="N34" s="10"/>
      <c r="O34" s="4">
        <v>431</v>
      </c>
      <c r="Q34" s="4">
        <v>1000</v>
      </c>
      <c r="S34" s="3" t="s">
        <v>129</v>
      </c>
    </row>
    <row r="35" spans="1:20" ht="14" customHeight="1" x14ac:dyDescent="0.15">
      <c r="A35" s="3" t="s">
        <v>96</v>
      </c>
      <c r="N35" s="10"/>
      <c r="Q35" s="4">
        <v>400</v>
      </c>
    </row>
    <row r="36" spans="1:20" ht="14" customHeight="1" x14ac:dyDescent="0.2">
      <c r="A36" s="3" t="s">
        <v>18</v>
      </c>
      <c r="B36" s="4">
        <v>875</v>
      </c>
      <c r="D36" s="4">
        <f t="shared" si="3"/>
        <v>656.25</v>
      </c>
      <c r="F36" s="4">
        <v>777</v>
      </c>
      <c r="G36" s="9"/>
      <c r="H36" s="4">
        <v>900</v>
      </c>
      <c r="I36" s="9"/>
      <c r="J36" s="4">
        <f t="shared" si="4"/>
        <v>900</v>
      </c>
      <c r="K36" s="9"/>
      <c r="L36" s="4">
        <f t="shared" si="5"/>
        <v>900</v>
      </c>
      <c r="M36" s="9"/>
      <c r="N36" s="10"/>
      <c r="O36" s="4">
        <v>1235</v>
      </c>
      <c r="Q36" s="4">
        <v>1220</v>
      </c>
    </row>
    <row r="37" spans="1:20" ht="14" customHeight="1" x14ac:dyDescent="0.15">
      <c r="A37" s="3" t="s">
        <v>134</v>
      </c>
      <c r="B37" s="4">
        <v>375</v>
      </c>
      <c r="D37" s="4">
        <f t="shared" si="3"/>
        <v>281.25</v>
      </c>
      <c r="F37" s="4">
        <v>345</v>
      </c>
      <c r="H37" s="4">
        <v>375</v>
      </c>
      <c r="J37" s="4">
        <f t="shared" si="4"/>
        <v>375</v>
      </c>
      <c r="L37" s="4">
        <f t="shared" si="5"/>
        <v>375</v>
      </c>
      <c r="N37" s="10"/>
      <c r="Q37" s="4">
        <v>2000</v>
      </c>
      <c r="S37" s="3" t="s">
        <v>135</v>
      </c>
    </row>
    <row r="38" spans="1:20" ht="14" customHeight="1" x14ac:dyDescent="0.15">
      <c r="A38" s="3" t="s">
        <v>19</v>
      </c>
      <c r="B38" s="4">
        <v>100</v>
      </c>
      <c r="D38" s="4">
        <f t="shared" si="3"/>
        <v>75</v>
      </c>
      <c r="F38" s="4">
        <v>0</v>
      </c>
      <c r="H38" s="4">
        <v>100</v>
      </c>
      <c r="J38" s="4">
        <f t="shared" si="4"/>
        <v>100</v>
      </c>
      <c r="L38" s="4">
        <f t="shared" si="5"/>
        <v>100</v>
      </c>
      <c r="N38" s="10"/>
      <c r="Q38" s="4">
        <v>660</v>
      </c>
      <c r="S38" s="3" t="s">
        <v>138</v>
      </c>
    </row>
    <row r="39" spans="1:20" ht="14" customHeight="1" x14ac:dyDescent="0.15">
      <c r="A39" s="3" t="s">
        <v>115</v>
      </c>
      <c r="L39" s="4">
        <v>11000</v>
      </c>
      <c r="N39" s="10"/>
      <c r="O39" s="4">
        <v>3000</v>
      </c>
      <c r="Q39" s="4">
        <v>10000</v>
      </c>
    </row>
    <row r="40" spans="1:20" ht="14" customHeight="1" x14ac:dyDescent="0.15">
      <c r="A40" s="3" t="s">
        <v>70</v>
      </c>
      <c r="B40" s="4">
        <v>0</v>
      </c>
      <c r="D40" s="4">
        <v>0</v>
      </c>
      <c r="F40" s="4">
        <v>0</v>
      </c>
      <c r="H40" s="4">
        <v>0</v>
      </c>
      <c r="J40" s="4">
        <v>150</v>
      </c>
      <c r="L40" s="4">
        <v>150</v>
      </c>
      <c r="N40" s="10"/>
      <c r="O40" s="4">
        <v>60</v>
      </c>
      <c r="Q40" s="4">
        <v>200</v>
      </c>
    </row>
    <row r="41" spans="1:20" ht="14" customHeight="1" x14ac:dyDescent="0.15">
      <c r="A41" s="3" t="s">
        <v>20</v>
      </c>
      <c r="B41" s="4">
        <v>200</v>
      </c>
      <c r="D41" s="4">
        <f t="shared" si="3"/>
        <v>150</v>
      </c>
      <c r="F41" s="4">
        <v>0</v>
      </c>
      <c r="H41" s="4">
        <v>200</v>
      </c>
      <c r="J41" s="4">
        <f t="shared" ref="J41:J50" si="6">H41</f>
        <v>200</v>
      </c>
      <c r="L41" s="4">
        <f>H41</f>
        <v>200</v>
      </c>
      <c r="N41" s="10"/>
      <c r="O41" s="4">
        <v>65</v>
      </c>
      <c r="Q41" s="4">
        <v>100</v>
      </c>
    </row>
    <row r="42" spans="1:20" ht="14" customHeight="1" x14ac:dyDescent="0.15">
      <c r="A42" s="3" t="s">
        <v>21</v>
      </c>
      <c r="B42" s="4">
        <v>1500</v>
      </c>
      <c r="D42" s="4">
        <f t="shared" si="3"/>
        <v>1125</v>
      </c>
      <c r="F42" s="4">
        <v>1023</v>
      </c>
      <c r="H42" s="4">
        <v>2400</v>
      </c>
      <c r="J42" s="4">
        <f t="shared" si="6"/>
        <v>2400</v>
      </c>
      <c r="L42" s="4">
        <f>H42</f>
        <v>2400</v>
      </c>
      <c r="N42" s="10" t="s">
        <v>56</v>
      </c>
      <c r="O42" s="4">
        <v>2228</v>
      </c>
      <c r="Q42" s="4">
        <v>2000</v>
      </c>
      <c r="S42" s="3" t="s">
        <v>130</v>
      </c>
    </row>
    <row r="43" spans="1:20" ht="14" customHeight="1" x14ac:dyDescent="0.15">
      <c r="A43" s="3" t="s">
        <v>136</v>
      </c>
      <c r="B43" s="4">
        <v>600</v>
      </c>
      <c r="D43" s="4">
        <f t="shared" si="3"/>
        <v>450</v>
      </c>
      <c r="F43" s="4">
        <v>0</v>
      </c>
      <c r="H43" s="4">
        <v>400</v>
      </c>
      <c r="J43" s="4">
        <f t="shared" si="6"/>
        <v>400</v>
      </c>
      <c r="L43" s="4">
        <f>H43</f>
        <v>400</v>
      </c>
      <c r="N43" s="10" t="s">
        <v>46</v>
      </c>
      <c r="O43" s="4">
        <v>405</v>
      </c>
      <c r="Q43" s="4">
        <v>2496</v>
      </c>
      <c r="S43" s="3" t="s">
        <v>137</v>
      </c>
    </row>
    <row r="44" spans="1:20" ht="14" customHeight="1" x14ac:dyDescent="0.15">
      <c r="A44" s="3" t="s">
        <v>142</v>
      </c>
      <c r="B44" s="4">
        <v>600</v>
      </c>
      <c r="D44" s="4">
        <f t="shared" si="3"/>
        <v>450</v>
      </c>
      <c r="F44" s="4">
        <v>43</v>
      </c>
      <c r="H44" s="4">
        <v>0</v>
      </c>
      <c r="J44" s="4">
        <f t="shared" si="6"/>
        <v>0</v>
      </c>
      <c r="L44" s="4">
        <f>H44</f>
        <v>0</v>
      </c>
      <c r="N44" s="10" t="s">
        <v>46</v>
      </c>
    </row>
    <row r="45" spans="1:20" ht="14" customHeight="1" x14ac:dyDescent="0.15">
      <c r="A45" s="3" t="s">
        <v>141</v>
      </c>
      <c r="B45" s="4">
        <v>250</v>
      </c>
      <c r="D45" s="4">
        <f t="shared" si="3"/>
        <v>187.5</v>
      </c>
      <c r="F45" s="4">
        <v>0</v>
      </c>
      <c r="H45" s="4">
        <v>250</v>
      </c>
      <c r="J45" s="4">
        <f t="shared" si="6"/>
        <v>250</v>
      </c>
      <c r="L45" s="4">
        <f>H45</f>
        <v>250</v>
      </c>
      <c r="N45" s="10" t="s">
        <v>46</v>
      </c>
      <c r="O45" s="4">
        <v>121</v>
      </c>
      <c r="Q45" s="4">
        <v>500</v>
      </c>
    </row>
    <row r="46" spans="1:20" ht="14" customHeight="1" x14ac:dyDescent="0.2">
      <c r="A46" s="3" t="s">
        <v>63</v>
      </c>
      <c r="B46" s="4">
        <v>70969</v>
      </c>
      <c r="D46" s="4">
        <f t="shared" si="3"/>
        <v>53226.75</v>
      </c>
      <c r="F46" s="4">
        <v>40581</v>
      </c>
      <c r="G46" s="9"/>
      <c r="H46" s="4">
        <f>(B46-18000)*1.05</f>
        <v>55617.450000000004</v>
      </c>
      <c r="I46" s="9"/>
      <c r="J46" s="4">
        <f t="shared" si="6"/>
        <v>55617.450000000004</v>
      </c>
      <c r="K46" s="9"/>
      <c r="L46" s="1">
        <f t="shared" ref="L46:L50" si="7">H46</f>
        <v>55617.450000000004</v>
      </c>
      <c r="M46" s="9"/>
      <c r="N46" s="15" t="s">
        <v>77</v>
      </c>
      <c r="O46" s="4">
        <v>44586</v>
      </c>
      <c r="Q46" s="1">
        <v>63376</v>
      </c>
      <c r="R46" s="22"/>
      <c r="S46" s="3" t="s">
        <v>117</v>
      </c>
    </row>
    <row r="47" spans="1:20" ht="14" customHeight="1" x14ac:dyDescent="0.2">
      <c r="A47" s="3" t="s">
        <v>22</v>
      </c>
      <c r="B47" s="4">
        <v>5429</v>
      </c>
      <c r="D47" s="4">
        <f t="shared" si="3"/>
        <v>4071.75</v>
      </c>
      <c r="F47" s="4">
        <v>3670</v>
      </c>
      <c r="G47" s="9"/>
      <c r="H47" s="4">
        <f>B47*0.78</f>
        <v>4234.62</v>
      </c>
      <c r="I47" s="9"/>
      <c r="J47" s="4">
        <f t="shared" si="6"/>
        <v>4234.62</v>
      </c>
      <c r="K47" s="9"/>
      <c r="L47" s="4">
        <f t="shared" si="7"/>
        <v>4234.62</v>
      </c>
      <c r="M47" s="9"/>
      <c r="N47" s="10" t="s">
        <v>47</v>
      </c>
      <c r="O47" s="4">
        <v>3589</v>
      </c>
      <c r="Q47" s="4">
        <v>4848</v>
      </c>
      <c r="R47" s="22"/>
      <c r="S47" s="28"/>
      <c r="T47" s="21"/>
    </row>
    <row r="48" spans="1:20" ht="14" customHeight="1" x14ac:dyDescent="0.2">
      <c r="A48" s="3" t="s">
        <v>23</v>
      </c>
      <c r="B48" s="4">
        <v>4000</v>
      </c>
      <c r="D48" s="4">
        <f t="shared" si="3"/>
        <v>3000</v>
      </c>
      <c r="F48" s="4">
        <v>1917</v>
      </c>
      <c r="G48" s="9"/>
      <c r="H48" s="4">
        <v>3000</v>
      </c>
      <c r="I48" s="9"/>
      <c r="J48" s="4">
        <f t="shared" si="6"/>
        <v>3000</v>
      </c>
      <c r="K48" s="9"/>
      <c r="L48" s="4">
        <f t="shared" si="7"/>
        <v>3000</v>
      </c>
      <c r="M48" s="9"/>
      <c r="N48" s="10" t="s">
        <v>48</v>
      </c>
      <c r="O48" s="4">
        <v>3333</v>
      </c>
      <c r="Q48" s="1">
        <v>3500</v>
      </c>
      <c r="R48" s="22"/>
      <c r="S48" s="28"/>
      <c r="T48" s="21"/>
    </row>
    <row r="49" spans="1:21" ht="14" customHeight="1" x14ac:dyDescent="0.2">
      <c r="A49" s="3" t="s">
        <v>24</v>
      </c>
      <c r="B49" s="4">
        <v>3633</v>
      </c>
      <c r="D49" s="4">
        <f t="shared" si="3"/>
        <v>2724.75</v>
      </c>
      <c r="F49" s="4">
        <v>2577</v>
      </c>
      <c r="G49" s="9"/>
      <c r="H49" s="4">
        <f>B49*0.78</f>
        <v>2833.7400000000002</v>
      </c>
      <c r="I49" s="9"/>
      <c r="J49" s="4">
        <f t="shared" si="6"/>
        <v>2833.7400000000002</v>
      </c>
      <c r="K49" s="9"/>
      <c r="L49" s="4">
        <f t="shared" si="7"/>
        <v>2833.7400000000002</v>
      </c>
      <c r="M49" s="9"/>
      <c r="N49" s="10" t="s">
        <v>47</v>
      </c>
      <c r="O49" s="4">
        <v>2905</v>
      </c>
      <c r="Q49" s="4">
        <v>3842</v>
      </c>
      <c r="R49" s="14"/>
      <c r="S49" s="27"/>
    </row>
    <row r="50" spans="1:21" ht="14" customHeight="1" x14ac:dyDescent="0.2">
      <c r="A50" s="3" t="s">
        <v>25</v>
      </c>
      <c r="B50" s="4">
        <v>1879</v>
      </c>
      <c r="D50" s="4">
        <f t="shared" si="3"/>
        <v>1409.25</v>
      </c>
      <c r="F50" s="4">
        <v>1356</v>
      </c>
      <c r="G50" s="9"/>
      <c r="H50" s="4">
        <f>B50*0.78</f>
        <v>1465.6200000000001</v>
      </c>
      <c r="I50" s="9"/>
      <c r="J50" s="4">
        <f t="shared" si="6"/>
        <v>1465.6200000000001</v>
      </c>
      <c r="K50" s="9"/>
      <c r="L50" s="4">
        <f t="shared" si="7"/>
        <v>1465.6200000000001</v>
      </c>
      <c r="M50" s="9"/>
      <c r="N50" s="10" t="s">
        <v>47</v>
      </c>
      <c r="O50" s="4">
        <v>1316</v>
      </c>
      <c r="Q50" s="4">
        <v>1500</v>
      </c>
    </row>
    <row r="51" spans="1:21" ht="14" customHeight="1" x14ac:dyDescent="0.15">
      <c r="A51" s="3" t="s">
        <v>126</v>
      </c>
      <c r="B51" s="4">
        <v>620</v>
      </c>
      <c r="D51" s="4">
        <f>B51*0.75</f>
        <v>465</v>
      </c>
      <c r="F51" s="4">
        <v>3500</v>
      </c>
      <c r="H51" s="4">
        <v>1225</v>
      </c>
      <c r="J51" s="4">
        <f>H51</f>
        <v>1225</v>
      </c>
      <c r="L51" s="4">
        <f>H51</f>
        <v>1225</v>
      </c>
      <c r="N51" s="10" t="s">
        <v>64</v>
      </c>
      <c r="O51" s="4">
        <v>525</v>
      </c>
      <c r="Q51" s="4">
        <f>5*275</f>
        <v>1375</v>
      </c>
    </row>
    <row r="52" spans="1:21" x14ac:dyDescent="0.15">
      <c r="A52" s="3" t="s">
        <v>131</v>
      </c>
      <c r="Q52" s="4">
        <v>400</v>
      </c>
      <c r="S52" s="3" t="s">
        <v>132</v>
      </c>
    </row>
    <row r="53" spans="1:21" ht="14" customHeight="1" x14ac:dyDescent="0.15">
      <c r="N53" s="10"/>
      <c r="R53" s="24"/>
    </row>
    <row r="54" spans="1:21" ht="14" customHeight="1" x14ac:dyDescent="0.15">
      <c r="B54" s="5" t="s">
        <v>49</v>
      </c>
      <c r="C54" s="5"/>
      <c r="D54" s="5" t="s">
        <v>59</v>
      </c>
      <c r="E54" s="5"/>
      <c r="F54" s="5" t="s">
        <v>57</v>
      </c>
      <c r="G54" s="5"/>
      <c r="H54" s="16" t="s">
        <v>71</v>
      </c>
      <c r="I54" s="5"/>
      <c r="J54" s="5" t="s">
        <v>78</v>
      </c>
      <c r="L54" s="5" t="s">
        <v>49</v>
      </c>
      <c r="O54" s="5" t="s">
        <v>113</v>
      </c>
      <c r="Q54" s="23" t="s">
        <v>89</v>
      </c>
    </row>
    <row r="55" spans="1:21" ht="14" customHeight="1" thickBot="1" x14ac:dyDescent="0.2">
      <c r="A55" s="17" t="s">
        <v>54</v>
      </c>
      <c r="B55" s="7" t="s">
        <v>1</v>
      </c>
      <c r="D55" s="8" t="s">
        <v>1</v>
      </c>
      <c r="F55" s="8" t="s">
        <v>1</v>
      </c>
      <c r="H55" s="8" t="s">
        <v>58</v>
      </c>
      <c r="J55" s="8" t="s">
        <v>58</v>
      </c>
      <c r="L55" s="8" t="s">
        <v>58</v>
      </c>
      <c r="N55" s="7" t="s">
        <v>43</v>
      </c>
      <c r="O55" s="7" t="s">
        <v>116</v>
      </c>
      <c r="P55" s="13"/>
      <c r="Q55" s="29" t="s">
        <v>90</v>
      </c>
      <c r="U55" s="24"/>
    </row>
    <row r="56" spans="1:21" ht="14" customHeight="1" x14ac:dyDescent="0.2">
      <c r="A56" s="3" t="s">
        <v>26</v>
      </c>
      <c r="B56" s="4">
        <f>27000+5000</f>
        <v>32000</v>
      </c>
      <c r="D56" s="4">
        <f t="shared" si="3"/>
        <v>24000</v>
      </c>
      <c r="F56" s="4">
        <f>21600+4000</f>
        <v>25600</v>
      </c>
      <c r="G56" s="9"/>
      <c r="H56" s="4">
        <f>B56*1.05*1.5</f>
        <v>50400</v>
      </c>
      <c r="I56" s="9"/>
      <c r="J56" s="26">
        <f t="shared" ref="J56:J67" si="8">H56</f>
        <v>50400</v>
      </c>
      <c r="K56" s="9"/>
      <c r="L56" s="4">
        <f>H56</f>
        <v>50400</v>
      </c>
      <c r="M56" s="9"/>
      <c r="N56" s="10" t="s">
        <v>76</v>
      </c>
      <c r="O56" s="4">
        <f>31167+10833</f>
        <v>42000</v>
      </c>
      <c r="Q56" s="4">
        <v>52416</v>
      </c>
      <c r="S56" s="3" t="s">
        <v>118</v>
      </c>
      <c r="T56" s="25"/>
      <c r="U56" s="25"/>
    </row>
    <row r="57" spans="1:21" ht="14" customHeight="1" x14ac:dyDescent="0.2">
      <c r="A57" s="3" t="s">
        <v>27</v>
      </c>
      <c r="B57" s="4">
        <v>2448</v>
      </c>
      <c r="D57" s="4">
        <f t="shared" si="3"/>
        <v>1836</v>
      </c>
      <c r="F57" s="4">
        <v>1652</v>
      </c>
      <c r="G57" s="9"/>
      <c r="H57" s="4">
        <f t="shared" ref="H57:H60" si="9">B57*1.05*1.5</f>
        <v>3855.6000000000004</v>
      </c>
      <c r="I57" s="9"/>
      <c r="J57" s="4">
        <f t="shared" si="8"/>
        <v>3855.6000000000004</v>
      </c>
      <c r="K57" s="9"/>
      <c r="L57" s="4">
        <f t="shared" ref="L57:L60" si="10">H57</f>
        <v>3855.6000000000004</v>
      </c>
      <c r="M57" s="9"/>
      <c r="N57" s="10" t="s">
        <v>75</v>
      </c>
      <c r="O57" s="4">
        <v>2384</v>
      </c>
      <c r="Q57" s="4">
        <v>2976</v>
      </c>
      <c r="S57" s="25"/>
      <c r="T57" s="25"/>
      <c r="U57" s="25"/>
    </row>
    <row r="58" spans="1:21" ht="14" customHeight="1" x14ac:dyDescent="0.2">
      <c r="A58" s="3" t="s">
        <v>28</v>
      </c>
      <c r="B58" s="4">
        <v>4000</v>
      </c>
      <c r="D58" s="4">
        <f t="shared" si="3"/>
        <v>3000</v>
      </c>
      <c r="F58" s="4">
        <v>2661</v>
      </c>
      <c r="G58" s="9"/>
      <c r="H58" s="4">
        <f t="shared" si="9"/>
        <v>6300</v>
      </c>
      <c r="I58" s="9"/>
      <c r="J58" s="4">
        <f t="shared" si="8"/>
        <v>6300</v>
      </c>
      <c r="K58" s="9"/>
      <c r="L58" s="4">
        <f t="shared" si="10"/>
        <v>6300</v>
      </c>
      <c r="M58" s="9"/>
      <c r="N58" s="10" t="s">
        <v>72</v>
      </c>
      <c r="Q58" s="4">
        <v>1500</v>
      </c>
      <c r="S58" s="25"/>
      <c r="T58" s="25"/>
      <c r="U58" s="25"/>
    </row>
    <row r="59" spans="1:21" ht="14" customHeight="1" x14ac:dyDescent="0.2">
      <c r="A59" s="3" t="s">
        <v>29</v>
      </c>
      <c r="B59" s="4">
        <v>3200</v>
      </c>
      <c r="D59" s="4">
        <f t="shared" si="3"/>
        <v>2400</v>
      </c>
      <c r="F59" s="4">
        <v>2540</v>
      </c>
      <c r="G59" s="9"/>
      <c r="H59" s="4">
        <f t="shared" si="9"/>
        <v>5040</v>
      </c>
      <c r="I59" s="9"/>
      <c r="J59" s="4">
        <f t="shared" si="8"/>
        <v>5040</v>
      </c>
      <c r="K59" s="9"/>
      <c r="L59" s="4">
        <f t="shared" si="10"/>
        <v>5040</v>
      </c>
      <c r="M59" s="9"/>
      <c r="N59" s="10" t="s">
        <v>75</v>
      </c>
      <c r="O59" s="4">
        <v>4224</v>
      </c>
      <c r="Q59" s="4">
        <f>Q56*10%</f>
        <v>5241.6000000000004</v>
      </c>
      <c r="S59" s="25"/>
      <c r="T59" s="25"/>
      <c r="U59" s="25"/>
    </row>
    <row r="60" spans="1:21" ht="14" customHeight="1" x14ac:dyDescent="0.2">
      <c r="A60" s="3" t="s">
        <v>52</v>
      </c>
      <c r="B60" s="4">
        <v>3200</v>
      </c>
      <c r="D60" s="4">
        <f t="shared" si="3"/>
        <v>2400</v>
      </c>
      <c r="F60" s="4">
        <v>0</v>
      </c>
      <c r="G60" s="9"/>
      <c r="H60" s="4">
        <f t="shared" si="9"/>
        <v>5040</v>
      </c>
      <c r="I60" s="9"/>
      <c r="J60" s="4">
        <f t="shared" si="8"/>
        <v>5040</v>
      </c>
      <c r="K60" s="9"/>
      <c r="L60" s="4">
        <f t="shared" si="10"/>
        <v>5040</v>
      </c>
      <c r="M60" s="9"/>
      <c r="N60" s="10" t="s">
        <v>75</v>
      </c>
      <c r="O60" s="4">
        <f>797+538</f>
        <v>1335</v>
      </c>
      <c r="Q60" s="4">
        <v>5242</v>
      </c>
      <c r="S60" s="25"/>
      <c r="T60" s="25"/>
      <c r="U60" s="25"/>
    </row>
    <row r="61" spans="1:21" ht="14" customHeight="1" x14ac:dyDescent="0.15">
      <c r="A61" s="3" t="s">
        <v>53</v>
      </c>
      <c r="B61" s="4">
        <v>3500</v>
      </c>
      <c r="D61" s="4">
        <f t="shared" ref="D61" si="11">B61*0.75</f>
        <v>2625</v>
      </c>
      <c r="F61" s="4">
        <v>0</v>
      </c>
      <c r="H61" s="4">
        <v>500</v>
      </c>
      <c r="J61" s="4">
        <f t="shared" si="8"/>
        <v>500</v>
      </c>
      <c r="L61" s="4">
        <f t="shared" ref="L61:L67" si="12">H61</f>
        <v>500</v>
      </c>
      <c r="N61" s="10"/>
      <c r="Q61" s="4">
        <v>500</v>
      </c>
      <c r="S61" s="25"/>
      <c r="T61" s="25"/>
      <c r="U61" s="25"/>
    </row>
    <row r="62" spans="1:21" ht="14" customHeight="1" x14ac:dyDescent="0.15">
      <c r="A62" s="3" t="s">
        <v>30</v>
      </c>
      <c r="B62" s="4">
        <v>500</v>
      </c>
      <c r="D62" s="4">
        <f t="shared" ref="D62:D75" si="13">B62*0.75</f>
        <v>375</v>
      </c>
      <c r="F62" s="4">
        <v>465</v>
      </c>
      <c r="H62" s="4">
        <v>500</v>
      </c>
      <c r="J62" s="4">
        <f t="shared" si="8"/>
        <v>500</v>
      </c>
      <c r="L62" s="4">
        <f t="shared" si="12"/>
        <v>500</v>
      </c>
      <c r="N62" s="10"/>
      <c r="O62" s="4">
        <v>1458</v>
      </c>
      <c r="Q62" s="4">
        <v>500</v>
      </c>
      <c r="S62" s="25"/>
      <c r="T62" s="25"/>
      <c r="U62" s="25"/>
    </row>
    <row r="63" spans="1:21" ht="14" customHeight="1" x14ac:dyDescent="0.15">
      <c r="A63" s="3" t="s">
        <v>31</v>
      </c>
      <c r="B63" s="4">
        <v>6000</v>
      </c>
      <c r="D63" s="4">
        <f t="shared" si="13"/>
        <v>4500</v>
      </c>
      <c r="F63" s="4">
        <v>4500</v>
      </c>
      <c r="H63" s="4">
        <v>6000</v>
      </c>
      <c r="J63" s="4">
        <f t="shared" si="8"/>
        <v>6000</v>
      </c>
      <c r="L63" s="4">
        <f t="shared" si="12"/>
        <v>6000</v>
      </c>
      <c r="N63" s="10"/>
      <c r="O63" s="4">
        <v>4500</v>
      </c>
      <c r="Q63" s="4">
        <v>6000</v>
      </c>
      <c r="S63" s="25"/>
      <c r="T63" s="25"/>
      <c r="U63" s="25"/>
    </row>
    <row r="64" spans="1:21" ht="14" customHeight="1" x14ac:dyDescent="0.15">
      <c r="A64" s="3" t="s">
        <v>32</v>
      </c>
      <c r="B64" s="4">
        <v>9000</v>
      </c>
      <c r="D64" s="4">
        <f t="shared" si="13"/>
        <v>6750</v>
      </c>
      <c r="F64" s="4">
        <v>5328</v>
      </c>
      <c r="H64" s="4">
        <v>9000</v>
      </c>
      <c r="J64" s="4">
        <f t="shared" si="8"/>
        <v>9000</v>
      </c>
      <c r="L64" s="4">
        <f t="shared" si="12"/>
        <v>9000</v>
      </c>
      <c r="N64" s="10"/>
      <c r="O64" s="4">
        <v>5012</v>
      </c>
      <c r="Q64" s="4">
        <v>10500</v>
      </c>
    </row>
    <row r="65" spans="1:19" ht="14" customHeight="1" x14ac:dyDescent="0.15">
      <c r="A65" s="3" t="s">
        <v>33</v>
      </c>
      <c r="B65" s="4">
        <v>4000</v>
      </c>
      <c r="D65" s="4">
        <f t="shared" si="13"/>
        <v>3000</v>
      </c>
      <c r="F65" s="4">
        <f>1945+30+66</f>
        <v>2041</v>
      </c>
      <c r="H65" s="4">
        <v>3000</v>
      </c>
      <c r="J65" s="4">
        <f t="shared" si="8"/>
        <v>3000</v>
      </c>
      <c r="L65" s="4">
        <f t="shared" si="12"/>
        <v>3000</v>
      </c>
      <c r="N65" s="10" t="s">
        <v>69</v>
      </c>
      <c r="O65" s="4">
        <v>3398</v>
      </c>
      <c r="Q65" s="4">
        <v>4000</v>
      </c>
    </row>
    <row r="66" spans="1:19" ht="14" customHeight="1" x14ac:dyDescent="0.15">
      <c r="A66" s="3" t="s">
        <v>34</v>
      </c>
      <c r="B66" s="4">
        <v>200</v>
      </c>
      <c r="D66" s="4">
        <f t="shared" si="13"/>
        <v>150</v>
      </c>
      <c r="F66" s="4">
        <v>0</v>
      </c>
      <c r="H66" s="4">
        <v>200</v>
      </c>
      <c r="J66" s="4">
        <f t="shared" si="8"/>
        <v>200</v>
      </c>
      <c r="L66" s="4">
        <f t="shared" si="12"/>
        <v>200</v>
      </c>
      <c r="N66" s="10"/>
      <c r="Q66" s="4">
        <v>1000</v>
      </c>
    </row>
    <row r="67" spans="1:19" ht="14" customHeight="1" x14ac:dyDescent="0.15">
      <c r="A67" s="3" t="s">
        <v>35</v>
      </c>
      <c r="B67" s="4">
        <v>5806</v>
      </c>
      <c r="D67" s="4">
        <f t="shared" si="13"/>
        <v>4354.5</v>
      </c>
      <c r="F67" s="4">
        <v>4422</v>
      </c>
      <c r="H67" s="4">
        <v>5265</v>
      </c>
      <c r="J67" s="4">
        <f t="shared" si="8"/>
        <v>5265</v>
      </c>
      <c r="L67" s="4">
        <f t="shared" si="12"/>
        <v>5265</v>
      </c>
      <c r="N67" s="10"/>
      <c r="O67" s="4">
        <v>4834</v>
      </c>
      <c r="Q67" s="4">
        <v>5700</v>
      </c>
    </row>
    <row r="68" spans="1:19" ht="14" customHeight="1" x14ac:dyDescent="0.15">
      <c r="A68" s="3" t="s">
        <v>67</v>
      </c>
      <c r="B68" s="4">
        <v>0</v>
      </c>
      <c r="D68" s="4">
        <v>0</v>
      </c>
      <c r="F68" s="4">
        <v>0</v>
      </c>
      <c r="H68" s="4">
        <v>0</v>
      </c>
      <c r="J68" s="4">
        <v>1500</v>
      </c>
      <c r="L68" s="4">
        <v>1500</v>
      </c>
      <c r="N68" s="10" t="s">
        <v>68</v>
      </c>
      <c r="O68" s="4">
        <v>2100</v>
      </c>
      <c r="S68" s="3" t="s">
        <v>140</v>
      </c>
    </row>
    <row r="69" spans="1:19" ht="14" customHeight="1" x14ac:dyDescent="0.15">
      <c r="A69" s="3" t="s">
        <v>36</v>
      </c>
      <c r="B69" s="4">
        <v>3500</v>
      </c>
      <c r="D69" s="4">
        <f t="shared" si="13"/>
        <v>2625</v>
      </c>
      <c r="F69" s="4">
        <v>2442</v>
      </c>
      <c r="H69" s="4">
        <v>3750</v>
      </c>
      <c r="J69" s="4">
        <f t="shared" ref="J69:J74" si="14">H69</f>
        <v>3750</v>
      </c>
      <c r="L69" s="4">
        <f t="shared" ref="L69:L74" si="15">H69</f>
        <v>3750</v>
      </c>
      <c r="N69" s="10"/>
      <c r="O69" s="4">
        <v>5993</v>
      </c>
      <c r="Q69" s="4">
        <v>4500</v>
      </c>
    </row>
    <row r="70" spans="1:19" ht="14" customHeight="1" x14ac:dyDescent="0.15">
      <c r="A70" s="3" t="s">
        <v>37</v>
      </c>
      <c r="B70" s="4">
        <v>225</v>
      </c>
      <c r="D70" s="4">
        <f t="shared" si="13"/>
        <v>168.75</v>
      </c>
      <c r="F70" s="4">
        <v>200</v>
      </c>
      <c r="H70" s="4">
        <v>1200</v>
      </c>
      <c r="J70" s="4">
        <f t="shared" si="14"/>
        <v>1200</v>
      </c>
      <c r="L70" s="4">
        <f t="shared" si="15"/>
        <v>1200</v>
      </c>
      <c r="N70" s="10"/>
      <c r="Q70" s="4">
        <v>1200</v>
      </c>
      <c r="S70" s="3" t="s">
        <v>139</v>
      </c>
    </row>
    <row r="71" spans="1:19" ht="14" customHeight="1" x14ac:dyDescent="0.15">
      <c r="A71" s="3" t="s">
        <v>65</v>
      </c>
      <c r="B71" s="4">
        <v>1000</v>
      </c>
      <c r="D71" s="4">
        <f t="shared" si="13"/>
        <v>750</v>
      </c>
      <c r="F71" s="4">
        <v>1140</v>
      </c>
      <c r="H71" s="4">
        <v>1500</v>
      </c>
      <c r="J71" s="4">
        <f t="shared" si="14"/>
        <v>1500</v>
      </c>
      <c r="L71" s="4">
        <f t="shared" si="15"/>
        <v>1500</v>
      </c>
      <c r="N71" s="10"/>
      <c r="O71" s="4">
        <v>683</v>
      </c>
      <c r="Q71" s="4">
        <v>1500</v>
      </c>
    </row>
    <row r="72" spans="1:19" ht="14" customHeight="1" x14ac:dyDescent="0.15">
      <c r="A72" s="3" t="s">
        <v>38</v>
      </c>
      <c r="B72" s="4">
        <v>8500</v>
      </c>
      <c r="D72" s="4">
        <f t="shared" si="13"/>
        <v>6375</v>
      </c>
      <c r="F72" s="4">
        <v>10128</v>
      </c>
      <c r="H72" s="4">
        <v>9500</v>
      </c>
      <c r="J72" s="4">
        <f t="shared" si="14"/>
        <v>9500</v>
      </c>
      <c r="L72" s="4">
        <f t="shared" si="15"/>
        <v>9500</v>
      </c>
      <c r="N72" s="10"/>
      <c r="O72" s="4">
        <v>15154</v>
      </c>
      <c r="Q72" s="4">
        <v>7500</v>
      </c>
      <c r="S72" s="3" t="s">
        <v>133</v>
      </c>
    </row>
    <row r="73" spans="1:19" ht="14" customHeight="1" x14ac:dyDescent="0.15">
      <c r="A73" s="3" t="s">
        <v>39</v>
      </c>
      <c r="B73" s="4">
        <v>8437</v>
      </c>
      <c r="D73" s="4">
        <f t="shared" si="13"/>
        <v>6327.75</v>
      </c>
      <c r="F73" s="4">
        <v>2282</v>
      </c>
      <c r="H73" s="4">
        <v>4564</v>
      </c>
      <c r="J73" s="4">
        <f t="shared" si="14"/>
        <v>4564</v>
      </c>
      <c r="L73" s="4">
        <f t="shared" si="15"/>
        <v>4564</v>
      </c>
      <c r="N73" s="10" t="s">
        <v>61</v>
      </c>
      <c r="O73" s="4">
        <v>2155</v>
      </c>
      <c r="Q73" s="4">
        <v>4700</v>
      </c>
    </row>
    <row r="74" spans="1:19" ht="14" customHeight="1" x14ac:dyDescent="0.15">
      <c r="A74" s="3" t="s">
        <v>40</v>
      </c>
      <c r="B74" s="4">
        <v>9120</v>
      </c>
      <c r="D74" s="4">
        <f t="shared" si="13"/>
        <v>6840</v>
      </c>
      <c r="F74" s="4">
        <v>2822</v>
      </c>
      <c r="H74" s="4">
        <v>3762</v>
      </c>
      <c r="J74" s="4">
        <f t="shared" si="14"/>
        <v>3762</v>
      </c>
      <c r="L74" s="4">
        <f t="shared" si="15"/>
        <v>3762</v>
      </c>
      <c r="N74" s="10" t="s">
        <v>62</v>
      </c>
      <c r="O74" s="4">
        <v>4469</v>
      </c>
      <c r="Q74" s="4">
        <v>5000</v>
      </c>
    </row>
    <row r="75" spans="1:19" ht="14" customHeight="1" thickBot="1" x14ac:dyDescent="0.2">
      <c r="A75" s="3" t="s">
        <v>41</v>
      </c>
      <c r="B75" s="11">
        <v>3600</v>
      </c>
      <c r="C75" s="14"/>
      <c r="D75" s="11">
        <f t="shared" si="13"/>
        <v>2700</v>
      </c>
      <c r="E75" s="14"/>
      <c r="F75" s="11">
        <v>2665</v>
      </c>
      <c r="H75" s="11">
        <v>3600</v>
      </c>
      <c r="J75" s="11">
        <v>3400</v>
      </c>
      <c r="L75" s="11">
        <v>3400</v>
      </c>
      <c r="N75" s="10" t="s">
        <v>62</v>
      </c>
      <c r="O75" s="11">
        <v>3081</v>
      </c>
      <c r="P75"/>
      <c r="Q75" s="11">
        <v>4000</v>
      </c>
    </row>
    <row r="76" spans="1:19" ht="14" customHeight="1" thickTop="1" x14ac:dyDescent="0.15">
      <c r="A76" s="6" t="s">
        <v>42</v>
      </c>
      <c r="B76" s="13">
        <f>SUM(B28:B75)</f>
        <v>202466</v>
      </c>
      <c r="C76" s="14"/>
      <c r="D76" s="13">
        <f>SUM(D28:D75)</f>
        <v>151849.5</v>
      </c>
      <c r="E76" s="14"/>
      <c r="F76" s="13">
        <f>SUM(F28:F75)</f>
        <v>127519</v>
      </c>
      <c r="H76" s="13">
        <f>SUM(H28:H75)</f>
        <v>201378.03</v>
      </c>
      <c r="J76" s="13">
        <f>SUM(J28:J75)</f>
        <v>202328.03</v>
      </c>
      <c r="L76" s="13">
        <f>SUM(L28:L75)</f>
        <v>213328.03</v>
      </c>
      <c r="O76" s="12">
        <f>SUM(O28:O75)</f>
        <v>169632</v>
      </c>
      <c r="P76" s="12"/>
      <c r="Q76" s="12">
        <f>SUM(Q28:Q75)</f>
        <v>228742.6</v>
      </c>
    </row>
    <row r="78" spans="1:19" ht="14" customHeight="1" x14ac:dyDescent="0.15">
      <c r="A78" s="18" t="s">
        <v>50</v>
      </c>
      <c r="B78" s="19">
        <f>B24-B76</f>
        <v>13160</v>
      </c>
      <c r="C78" s="19"/>
      <c r="D78" s="19">
        <f>D24-D76</f>
        <v>9870</v>
      </c>
      <c r="E78" s="19"/>
      <c r="F78" s="19">
        <f>F24-F76</f>
        <v>15615</v>
      </c>
      <c r="G78" s="20"/>
      <c r="H78" s="19">
        <f>H24-H76</f>
        <v>-13201.029999999999</v>
      </c>
      <c r="I78" s="20"/>
      <c r="J78" s="19">
        <f>J24-J76</f>
        <v>-4267.0299999999988</v>
      </c>
      <c r="K78" s="20"/>
      <c r="L78" s="19">
        <f>L24-L76</f>
        <v>-2.9999999998835847E-2</v>
      </c>
      <c r="M78" s="20"/>
      <c r="O78" s="12">
        <f>O24-O76</f>
        <v>27833</v>
      </c>
      <c r="Q78" s="12">
        <f>Q24-Q76</f>
        <v>1283.3999999999942</v>
      </c>
    </row>
    <row r="80" spans="1:19" x14ac:dyDescent="0.15">
      <c r="B80" s="4">
        <v>5000</v>
      </c>
    </row>
    <row r="81" spans="2:6" x14ac:dyDescent="0.15">
      <c r="B81" s="4">
        <v>5000</v>
      </c>
    </row>
    <row r="82" spans="2:6" x14ac:dyDescent="0.15">
      <c r="B82" s="4">
        <v>-10000</v>
      </c>
    </row>
    <row r="85" spans="2:6" x14ac:dyDescent="0.15">
      <c r="B85" s="4" t="s">
        <v>91</v>
      </c>
      <c r="F85" s="4">
        <v>129000</v>
      </c>
    </row>
    <row r="86" spans="2:6" x14ac:dyDescent="0.15">
      <c r="B86" s="4" t="s">
        <v>92</v>
      </c>
      <c r="F86" s="24">
        <v>0.1</v>
      </c>
    </row>
    <row r="87" spans="2:6" x14ac:dyDescent="0.15">
      <c r="B87" s="4" t="s">
        <v>93</v>
      </c>
      <c r="F87" s="4">
        <f>F85*F86</f>
        <v>12900</v>
      </c>
    </row>
    <row r="88" spans="2:6" x14ac:dyDescent="0.15">
      <c r="B88" s="4" t="s">
        <v>94</v>
      </c>
      <c r="F88" s="24">
        <v>0.8</v>
      </c>
    </row>
    <row r="89" spans="2:6" x14ac:dyDescent="0.15">
      <c r="B89" s="4" t="s">
        <v>95</v>
      </c>
      <c r="F89" s="4">
        <f>F87*F88</f>
        <v>10320</v>
      </c>
    </row>
  </sheetData>
  <sheetProtection selectLockedCells="1" selectUnlockedCells="1"/>
  <mergeCells count="3">
    <mergeCell ref="A1:R1"/>
    <mergeCell ref="B2:M2"/>
    <mergeCell ref="A3:R3"/>
  </mergeCells>
  <printOptions horizontalCentered="1" verticalCentered="1"/>
  <pageMargins left="0.25" right="0.25" top="0.75" bottom="0.75" header="0.3" footer="0.3"/>
  <pageSetup firstPageNumber="0" orientation="landscape" horizontalDpi="300" verticalDpi="300" r:id="rId1"/>
  <headerFooter alignWithMargins="0"/>
  <rowBreaks count="2" manualBreakCount="2">
    <brk id="24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B941-E206-0943-AA2E-2F092075D22A}">
  <sheetPr>
    <pageSetUpPr fitToPage="1"/>
  </sheetPr>
  <dimension ref="A2:N31"/>
  <sheetViews>
    <sheetView workbookViewId="0">
      <selection sqref="A1:N1048576"/>
    </sheetView>
  </sheetViews>
  <sheetFormatPr baseColWidth="10" defaultRowHeight="18" x14ac:dyDescent="0.2"/>
  <cols>
    <col min="1" max="2" width="10.83203125" style="32"/>
    <col min="3" max="3" width="11.5" style="32" bestFit="1" customWidth="1"/>
    <col min="4" max="4" width="5.33203125" style="32" customWidth="1"/>
    <col min="5" max="6" width="11" style="32" bestFit="1" customWidth="1"/>
    <col min="7" max="7" width="10.83203125" style="32"/>
    <col min="8" max="8" width="11.5" style="32" bestFit="1" customWidth="1"/>
    <col min="9" max="9" width="4.33203125" style="32" customWidth="1"/>
    <col min="10" max="10" width="10.83203125" style="32"/>
    <col min="11" max="13" width="11.5" style="32" bestFit="1" customWidth="1"/>
    <col min="14" max="14" width="11" style="32" bestFit="1" customWidth="1"/>
  </cols>
  <sheetData>
    <row r="2" spans="1:14" ht="19" x14ac:dyDescent="0.25">
      <c r="C2" s="33" t="s">
        <v>98</v>
      </c>
      <c r="F2" s="33" t="s">
        <v>99</v>
      </c>
      <c r="H2" s="33" t="s">
        <v>99</v>
      </c>
    </row>
    <row r="3" spans="1:14" x14ac:dyDescent="0.2">
      <c r="E3" s="34">
        <v>0.04</v>
      </c>
      <c r="F3" s="32" t="s">
        <v>100</v>
      </c>
      <c r="H3" s="32" t="s">
        <v>101</v>
      </c>
    </row>
    <row r="4" spans="1:14" ht="19" x14ac:dyDescent="0.25">
      <c r="A4" s="32" t="s">
        <v>102</v>
      </c>
      <c r="J4" s="35"/>
      <c r="K4" s="36" t="s">
        <v>103</v>
      </c>
      <c r="L4" s="36"/>
      <c r="M4" s="36"/>
    </row>
    <row r="5" spans="1:14" x14ac:dyDescent="0.2">
      <c r="B5" s="32" t="s">
        <v>104</v>
      </c>
      <c r="C5" s="37">
        <v>37400</v>
      </c>
      <c r="D5" s="37"/>
      <c r="E5" s="37"/>
      <c r="F5" s="37"/>
    </row>
    <row r="6" spans="1:14" ht="19" x14ac:dyDescent="0.25">
      <c r="B6" s="32" t="s">
        <v>105</v>
      </c>
      <c r="C6" s="37">
        <v>13000</v>
      </c>
      <c r="D6" s="37"/>
      <c r="E6" s="37"/>
      <c r="F6" s="37"/>
      <c r="K6" s="38" t="s">
        <v>106</v>
      </c>
      <c r="L6" s="38" t="s">
        <v>107</v>
      </c>
      <c r="M6" s="38" t="s">
        <v>108</v>
      </c>
      <c r="N6" s="38" t="s">
        <v>101</v>
      </c>
    </row>
    <row r="7" spans="1:14" ht="19" x14ac:dyDescent="0.25">
      <c r="C7" s="39">
        <f>SUM(C5:C6)</f>
        <v>50400</v>
      </c>
      <c r="D7" s="37"/>
      <c r="E7" s="37"/>
      <c r="F7" s="37">
        <f>C7*4%</f>
        <v>2016</v>
      </c>
      <c r="H7" s="37">
        <f>C7+F7</f>
        <v>52416</v>
      </c>
    </row>
    <row r="8" spans="1:14" ht="19" x14ac:dyDescent="0.25">
      <c r="C8" s="37"/>
      <c r="D8" s="37"/>
      <c r="E8" s="37"/>
      <c r="F8" s="37"/>
      <c r="J8" s="32" t="s">
        <v>104</v>
      </c>
      <c r="K8" s="37">
        <f>H14</f>
        <v>24960</v>
      </c>
      <c r="L8" s="37">
        <f>H20</f>
        <v>23793.119999999999</v>
      </c>
      <c r="M8" s="37">
        <f>H26</f>
        <v>14623.232</v>
      </c>
      <c r="N8" s="39">
        <f>SUM(K8:M8)</f>
        <v>63376.351999999999</v>
      </c>
    </row>
    <row r="9" spans="1:14" ht="19" x14ac:dyDescent="0.25">
      <c r="B9" s="32" t="s">
        <v>109</v>
      </c>
      <c r="C9" s="37">
        <f>C5*7.65%</f>
        <v>2861.1</v>
      </c>
      <c r="D9" s="37"/>
      <c r="E9" s="37"/>
      <c r="F9" s="37">
        <f>C9*E3</f>
        <v>114.444</v>
      </c>
      <c r="H9" s="37">
        <f>C9+F9</f>
        <v>2975.5439999999999</v>
      </c>
      <c r="J9" s="32" t="s">
        <v>109</v>
      </c>
      <c r="K9" s="37">
        <f>H15</f>
        <v>1909.44</v>
      </c>
      <c r="L9" s="37">
        <f>H21</f>
        <v>1820.1736799999999</v>
      </c>
      <c r="M9" s="37">
        <f>H27</f>
        <v>1118.677248</v>
      </c>
      <c r="N9" s="39">
        <f>SUM(K9:M9)</f>
        <v>4848.2909280000003</v>
      </c>
    </row>
    <row r="10" spans="1:14" ht="19" x14ac:dyDescent="0.25">
      <c r="B10" s="32" t="s">
        <v>24</v>
      </c>
      <c r="C10" s="37">
        <f>C7*10%</f>
        <v>5040</v>
      </c>
      <c r="D10" s="37"/>
      <c r="E10" s="37"/>
      <c r="F10" s="37">
        <f>C10*E3</f>
        <v>201.6</v>
      </c>
      <c r="H10" s="37">
        <f>C10+F10</f>
        <v>5241.6000000000004</v>
      </c>
      <c r="J10" s="32" t="s">
        <v>24</v>
      </c>
      <c r="L10" s="37">
        <f>H22</f>
        <v>2379.3120000000004</v>
      </c>
      <c r="M10" s="37">
        <f>H28</f>
        <v>1462.3231999999998</v>
      </c>
      <c r="N10" s="39">
        <f>SUM(K10:M10)</f>
        <v>3841.6352000000002</v>
      </c>
    </row>
    <row r="11" spans="1:14" x14ac:dyDescent="0.2">
      <c r="B11" s="32" t="s">
        <v>110</v>
      </c>
      <c r="C11" s="37">
        <f>C7*10%</f>
        <v>5040</v>
      </c>
      <c r="D11" s="37"/>
      <c r="E11" s="37"/>
      <c r="F11" s="37">
        <f>C11*E3</f>
        <v>201.6</v>
      </c>
      <c r="H11" s="37">
        <f>C11+F11</f>
        <v>5241.6000000000004</v>
      </c>
    </row>
    <row r="12" spans="1:14" ht="19" x14ac:dyDescent="0.25">
      <c r="C12" s="39">
        <f>SUM(C9:C11)</f>
        <v>12941.1</v>
      </c>
      <c r="D12" s="37"/>
      <c r="E12" s="37"/>
      <c r="F12" s="37"/>
      <c r="H12" s="37"/>
    </row>
    <row r="13" spans="1:14" x14ac:dyDescent="0.2">
      <c r="C13" s="37"/>
      <c r="D13" s="37"/>
      <c r="E13" s="37"/>
      <c r="F13" s="37"/>
    </row>
    <row r="14" spans="1:14" x14ac:dyDescent="0.2">
      <c r="A14" s="32" t="s">
        <v>106</v>
      </c>
      <c r="B14" s="32" t="s">
        <v>104</v>
      </c>
      <c r="C14" s="37">
        <v>24000</v>
      </c>
      <c r="D14" s="37"/>
      <c r="E14" s="37"/>
      <c r="F14" s="37">
        <f>C14*E3</f>
        <v>960</v>
      </c>
      <c r="H14" s="37">
        <f>C14+F14</f>
        <v>24960</v>
      </c>
    </row>
    <row r="15" spans="1:14" x14ac:dyDescent="0.2">
      <c r="B15" s="32" t="s">
        <v>109</v>
      </c>
      <c r="C15" s="37">
        <f>C14*7.65%</f>
        <v>1836</v>
      </c>
      <c r="D15" s="37"/>
      <c r="E15" s="37"/>
      <c r="F15" s="37">
        <f>C15*E3</f>
        <v>73.44</v>
      </c>
      <c r="H15" s="37">
        <f t="shared" ref="H15:H16" si="0">C15+F15</f>
        <v>1909.44</v>
      </c>
    </row>
    <row r="16" spans="1:14" x14ac:dyDescent="0.2">
      <c r="B16" s="32" t="s">
        <v>110</v>
      </c>
      <c r="C16" s="37">
        <f>C14*10%</f>
        <v>2400</v>
      </c>
      <c r="D16" s="37"/>
      <c r="E16" s="37"/>
      <c r="F16" s="37">
        <f>C16*E3</f>
        <v>96</v>
      </c>
      <c r="H16" s="37">
        <f t="shared" si="0"/>
        <v>2496</v>
      </c>
    </row>
    <row r="17" spans="1:8" ht="19" x14ac:dyDescent="0.25">
      <c r="C17" s="39">
        <f>SUM(C14:C16)</f>
        <v>28236</v>
      </c>
      <c r="D17" s="37"/>
      <c r="E17" s="37"/>
      <c r="F17" s="37"/>
    </row>
    <row r="20" spans="1:8" x14ac:dyDescent="0.2">
      <c r="A20" s="32" t="s">
        <v>107</v>
      </c>
      <c r="B20" s="32" t="s">
        <v>111</v>
      </c>
      <c r="C20" s="37">
        <v>22878</v>
      </c>
      <c r="F20" s="37">
        <f>C20*E3</f>
        <v>915.12</v>
      </c>
      <c r="H20" s="37">
        <f>C20+F20</f>
        <v>23793.119999999999</v>
      </c>
    </row>
    <row r="21" spans="1:8" x14ac:dyDescent="0.2">
      <c r="B21" s="32" t="s">
        <v>109</v>
      </c>
      <c r="C21" s="37">
        <f>C20*7.65%</f>
        <v>1750.1669999999999</v>
      </c>
      <c r="F21" s="37">
        <f>C21*E3</f>
        <v>70.006680000000003</v>
      </c>
      <c r="H21" s="37">
        <f t="shared" ref="H21:H22" si="1">C21+F21</f>
        <v>1820.1736799999999</v>
      </c>
    </row>
    <row r="22" spans="1:8" x14ac:dyDescent="0.2">
      <c r="B22" s="32" t="s">
        <v>24</v>
      </c>
      <c r="C22" s="37">
        <f>+C20*10%</f>
        <v>2287.8000000000002</v>
      </c>
      <c r="F22" s="37">
        <f>C22*E3</f>
        <v>91.512000000000015</v>
      </c>
      <c r="H22" s="37">
        <f t="shared" si="1"/>
        <v>2379.3120000000004</v>
      </c>
    </row>
    <row r="23" spans="1:8" ht="19" x14ac:dyDescent="0.25">
      <c r="C23" s="39">
        <f>SUM(C20:C22)</f>
        <v>26915.967000000001</v>
      </c>
      <c r="F23" s="37"/>
    </row>
    <row r="25" spans="1:8" ht="19" x14ac:dyDescent="0.25">
      <c r="F25" s="39"/>
    </row>
    <row r="26" spans="1:8" x14ac:dyDescent="0.2">
      <c r="A26" s="32" t="s">
        <v>108</v>
      </c>
      <c r="B26" s="32" t="s">
        <v>104</v>
      </c>
      <c r="C26" s="37">
        <f>13.52*20*52</f>
        <v>14060.8</v>
      </c>
      <c r="D26" s="37"/>
      <c r="E26" s="37"/>
      <c r="F26" s="37">
        <f>C26*E3</f>
        <v>562.43200000000002</v>
      </c>
      <c r="G26" s="37"/>
      <c r="H26" s="37">
        <f>C26+F26</f>
        <v>14623.232</v>
      </c>
    </row>
    <row r="27" spans="1:8" x14ac:dyDescent="0.2">
      <c r="B27" s="32" t="s">
        <v>109</v>
      </c>
      <c r="C27" s="37">
        <f>C26*7.65%</f>
        <v>1075.6512</v>
      </c>
      <c r="D27" s="37"/>
      <c r="E27" s="37"/>
      <c r="F27" s="37">
        <f>C27*E3</f>
        <v>43.026048000000003</v>
      </c>
      <c r="G27" s="37"/>
      <c r="H27" s="37">
        <f>C27+F27</f>
        <v>1118.677248</v>
      </c>
    </row>
    <row r="28" spans="1:8" x14ac:dyDescent="0.2">
      <c r="B28" s="32" t="s">
        <v>24</v>
      </c>
      <c r="C28" s="37">
        <f>C26*10%</f>
        <v>1406.08</v>
      </c>
      <c r="D28" s="37"/>
      <c r="E28" s="37"/>
      <c r="F28" s="37">
        <f>C28*E3</f>
        <v>56.243200000000002</v>
      </c>
      <c r="G28" s="37"/>
      <c r="H28" s="37">
        <f>C28+F28</f>
        <v>1462.3231999999998</v>
      </c>
    </row>
    <row r="29" spans="1:8" x14ac:dyDescent="0.2">
      <c r="C29" s="37"/>
      <c r="D29" s="37"/>
      <c r="E29" s="37"/>
      <c r="F29" s="37"/>
      <c r="G29" s="37"/>
      <c r="H29" s="37"/>
    </row>
    <row r="30" spans="1:8" x14ac:dyDescent="0.2">
      <c r="C30" s="37"/>
      <c r="D30" s="37"/>
      <c r="E30" s="37"/>
      <c r="F30" s="37"/>
      <c r="G30" s="37"/>
      <c r="H30" s="37"/>
    </row>
    <row r="31" spans="1:8" ht="19" x14ac:dyDescent="0.25">
      <c r="A31" s="33" t="s">
        <v>112</v>
      </c>
      <c r="C31" s="37"/>
      <c r="D31" s="37"/>
      <c r="E31" s="37"/>
      <c r="F31" s="39">
        <f>SUM(F5:F30)</f>
        <v>5401.4239279999993</v>
      </c>
      <c r="G31" s="37"/>
      <c r="H31" s="37"/>
    </row>
  </sheetData>
  <printOptions gridLines="1"/>
  <pageMargins left="0.7" right="0.7" top="0.75" bottom="0.75" header="0.3" footer="0.3"/>
  <pageSetup scale="7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Salaries</vt:lpstr>
      <vt:lpstr>Budget!Print_Area</vt:lpstr>
      <vt:lpstr>Salaries!Print_Area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  &amp; Jenny</cp:lastModifiedBy>
  <cp:lastPrinted>2023-05-16T18:29:12Z</cp:lastPrinted>
  <dcterms:created xsi:type="dcterms:W3CDTF">2021-04-26T22:37:08Z</dcterms:created>
  <dcterms:modified xsi:type="dcterms:W3CDTF">2023-05-17T20:26:03Z</dcterms:modified>
</cp:coreProperties>
</file>